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DD47" lockStructure="1"/>
  <bookViews>
    <workbookView xWindow="-15" yWindow="105" windowWidth="12000" windowHeight="9870" tabRatio="820"/>
  </bookViews>
  <sheets>
    <sheet name="postup" sheetId="20" r:id="rId1"/>
    <sheet name="INDEX" sheetId="6" r:id="rId2"/>
    <sheet name="DATA" sheetId="4" r:id="rId3"/>
    <sheet name="VÝKAZ ZZ" sheetId="15" r:id="rId4"/>
    <sheet name="AKTIVA" sheetId="9" r:id="rId5"/>
    <sheet name="PASIVA" sheetId="13" r:id="rId6"/>
    <sheet name="pivot" sheetId="19" r:id="rId7"/>
    <sheet name="ucty_synt" sheetId="1" state="hidden" r:id="rId8"/>
    <sheet name="řádky R" sheetId="5" state="hidden" r:id="rId9"/>
    <sheet name="řádky V" sheetId="16" state="hidden" r:id="rId10"/>
    <sheet name="dates" sheetId="17" state="hidden" r:id="rId11"/>
  </sheets>
  <externalReferences>
    <externalReference r:id="rId12"/>
  </externalReferences>
  <definedNames>
    <definedName name="_xlnm._FilterDatabase" localSheetId="4" hidden="1">AKTIVA!$A$7:$P$73</definedName>
    <definedName name="_xlnm._FilterDatabase" localSheetId="2" hidden="1">DATA!$C$1:$Y$12</definedName>
    <definedName name="_xlnm._FilterDatabase" localSheetId="8" hidden="1">'řádky R'!$A$1:$M$124</definedName>
    <definedName name="_xlnm._FilterDatabase" localSheetId="7" hidden="1">ucty_synt!$A$1:$O$260</definedName>
    <definedName name="jazyk" localSheetId="0">[1]INDEX!$C$19</definedName>
    <definedName name="jazyk">INDEX!$C$19</definedName>
    <definedName name="_xlnm.Print_Titles" localSheetId="4">AKTIVA!$4:$7</definedName>
    <definedName name="_xlnm.Print_Titles" localSheetId="2">DATA!$1:$1</definedName>
    <definedName name="_xlnm.Print_Titles" localSheetId="5">PASIVA!$4:$7</definedName>
    <definedName name="_xlnm.Print_Titles" localSheetId="3">'VÝKAZ ZZ'!$5:$7</definedName>
    <definedName name="_xlnm.Print_Area" localSheetId="4">AKTIVA!$G:$P</definedName>
    <definedName name="_xlnm.Print_Area" localSheetId="1">INDEX!$B:$G</definedName>
    <definedName name="_xlnm.Print_Area" localSheetId="5">PASIVA!$G:$N</definedName>
    <definedName name="_xlnm.Print_Area" localSheetId="3">'VÝKAZ ZZ'!$G:$N</definedName>
    <definedName name="Průřez_část">#N/A</definedName>
    <definedName name="Průřez_výkaz">#N/A</definedName>
    <definedName name="zaokr" localSheetId="0">[1]INDEX!$D$17</definedName>
    <definedName name="zaokr">INDEX!$D$17</definedName>
  </definedNames>
  <calcPr calcId="145621"/>
  <pivotCaches>
    <pivotCache cacheId="25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L9" i="9" l="1"/>
  <c r="D27" i="6" l="1"/>
  <c r="C27" i="6"/>
  <c r="D22" i="6"/>
  <c r="C22" i="6"/>
  <c r="G1" i="15" l="1"/>
  <c r="B83" i="20" l="1"/>
  <c r="B60" i="20"/>
  <c r="B48" i="20"/>
  <c r="B28" i="20"/>
  <c r="B13" i="20"/>
  <c r="J3" i="4" l="1"/>
  <c r="K3" i="4"/>
  <c r="L3" i="4"/>
  <c r="N3" i="4"/>
  <c r="O3" i="4"/>
  <c r="P3" i="4"/>
  <c r="Q3" i="4"/>
  <c r="U3" i="4"/>
  <c r="V3" i="4"/>
  <c r="W3" i="4"/>
  <c r="X3" i="4"/>
  <c r="J4" i="4"/>
  <c r="K4" i="4"/>
  <c r="P4" i="4" s="1"/>
  <c r="L4" i="4"/>
  <c r="J5" i="4"/>
  <c r="K5" i="4"/>
  <c r="L5" i="4" s="1"/>
  <c r="J6" i="4"/>
  <c r="K6" i="4"/>
  <c r="L6" i="4"/>
  <c r="N6" i="4"/>
  <c r="O6" i="4"/>
  <c r="P6" i="4"/>
  <c r="Q6" i="4"/>
  <c r="U6" i="4"/>
  <c r="V6" i="4"/>
  <c r="W6" i="4"/>
  <c r="X6" i="4"/>
  <c r="J7" i="4"/>
  <c r="K7" i="4"/>
  <c r="O7" i="4" s="1"/>
  <c r="X7" i="4"/>
  <c r="J8" i="4"/>
  <c r="K8" i="4"/>
  <c r="L8" i="4"/>
  <c r="N8" i="4"/>
  <c r="O8" i="4"/>
  <c r="P8" i="4"/>
  <c r="Q8" i="4"/>
  <c r="U8" i="4"/>
  <c r="V8" i="4"/>
  <c r="W8" i="4"/>
  <c r="X8" i="4"/>
  <c r="J9" i="4"/>
  <c r="K9" i="4"/>
  <c r="L9" i="4"/>
  <c r="N9" i="4"/>
  <c r="O9" i="4"/>
  <c r="P9" i="4"/>
  <c r="Q9" i="4"/>
  <c r="U9" i="4"/>
  <c r="V9" i="4"/>
  <c r="W9" i="4"/>
  <c r="X9" i="4"/>
  <c r="J10" i="4"/>
  <c r="K10" i="4"/>
  <c r="L10" i="4"/>
  <c r="N10" i="4"/>
  <c r="O10" i="4"/>
  <c r="P10" i="4"/>
  <c r="Q10" i="4"/>
  <c r="U10" i="4"/>
  <c r="V10" i="4"/>
  <c r="W10" i="4"/>
  <c r="X10" i="4"/>
  <c r="J11" i="4"/>
  <c r="K11" i="4"/>
  <c r="L11" i="4"/>
  <c r="N11" i="4"/>
  <c r="O11" i="4"/>
  <c r="P11" i="4"/>
  <c r="Q11" i="4"/>
  <c r="U11" i="4"/>
  <c r="V11" i="4"/>
  <c r="W11" i="4"/>
  <c r="X11" i="4"/>
  <c r="Q7" i="4" l="1"/>
  <c r="L7" i="4"/>
  <c r="O5" i="4"/>
  <c r="X4" i="4"/>
  <c r="Q4" i="4"/>
  <c r="P7" i="4"/>
  <c r="P5" i="4"/>
  <c r="X5" i="4"/>
  <c r="Q5" i="4"/>
  <c r="S11" i="4"/>
  <c r="T11" i="4" s="1"/>
  <c r="O4" i="4"/>
  <c r="S9" i="4"/>
  <c r="M9" i="4" s="1"/>
  <c r="S6" i="4"/>
  <c r="M6" i="4" s="1"/>
  <c r="S8" i="4"/>
  <c r="T8" i="4" s="1"/>
  <c r="S3" i="4"/>
  <c r="T3" i="4" s="1"/>
  <c r="S10" i="4"/>
  <c r="T10" i="4" s="1"/>
  <c r="S7" i="4" l="1"/>
  <c r="M7" i="4" s="1"/>
  <c r="S4" i="4"/>
  <c r="T4" i="4" s="1"/>
  <c r="S5" i="4"/>
  <c r="T5" i="4" s="1"/>
  <c r="N7" i="4"/>
  <c r="U7" i="4"/>
  <c r="V7" i="4"/>
  <c r="W7" i="4"/>
  <c r="M8" i="4"/>
  <c r="M11" i="4"/>
  <c r="M3" i="4"/>
  <c r="T9" i="4"/>
  <c r="T6" i="4"/>
  <c r="M10" i="4"/>
  <c r="M4" i="4" l="1"/>
  <c r="T7" i="4"/>
  <c r="M5" i="4"/>
  <c r="N5" i="4" s="1"/>
  <c r="W5" i="4"/>
  <c r="V5" i="4"/>
  <c r="N4" i="4"/>
  <c r="U4" i="4"/>
  <c r="W4" i="4"/>
  <c r="V4" i="4"/>
  <c r="U5" i="4" l="1"/>
  <c r="K2" i="4"/>
  <c r="K12" i="4"/>
  <c r="L2" i="4" l="1"/>
  <c r="Q12" i="4"/>
  <c r="Q2" i="4"/>
  <c r="L12" i="4"/>
  <c r="P2" i="4"/>
  <c r="X12" i="4"/>
  <c r="P12" i="4"/>
  <c r="X2" i="4"/>
  <c r="M3" i="15"/>
  <c r="M2" i="15"/>
  <c r="G2" i="15"/>
  <c r="M1" i="15"/>
  <c r="M3" i="13"/>
  <c r="M2" i="13"/>
  <c r="M1" i="13"/>
  <c r="G2" i="13"/>
  <c r="G1" i="13"/>
  <c r="J12" i="4" l="1"/>
  <c r="O12" i="4" l="1"/>
  <c r="J2" i="4"/>
  <c r="K3" i="5" l="1"/>
  <c r="K4" i="5"/>
  <c r="K5" i="5"/>
  <c r="K6" i="5"/>
  <c r="K7" i="5" s="1"/>
  <c r="K8" i="5" s="1"/>
  <c r="K14" i="5"/>
  <c r="K15" i="5"/>
  <c r="K16" i="5" s="1"/>
  <c r="K24" i="5"/>
  <c r="K25" i="5"/>
  <c r="K26" i="5" s="1"/>
  <c r="K32" i="5"/>
  <c r="K33" i="5"/>
  <c r="K34" i="5"/>
  <c r="K40" i="5"/>
  <c r="K41" i="5"/>
  <c r="K42" i="5" s="1"/>
  <c r="K43" i="5" s="1"/>
  <c r="K44" i="5" s="1"/>
  <c r="K45" i="5" s="1"/>
  <c r="K46" i="5" s="1"/>
  <c r="K47" i="5" s="1"/>
  <c r="K48" i="5" s="1"/>
  <c r="K49" i="5"/>
  <c r="K50" i="5"/>
  <c r="K59" i="5"/>
  <c r="K60" i="5"/>
  <c r="K64" i="5"/>
  <c r="K65" i="5"/>
  <c r="K68" i="5"/>
  <c r="K69" i="5"/>
  <c r="K70" i="5"/>
  <c r="K71" i="5"/>
  <c r="K74" i="5"/>
  <c r="K75" i="5"/>
  <c r="K76" i="5" s="1"/>
  <c r="K77" i="5" s="1"/>
  <c r="K81" i="5"/>
  <c r="K82" i="5"/>
  <c r="K84" i="5"/>
  <c r="K85" i="5"/>
  <c r="K88" i="5"/>
  <c r="K89" i="5"/>
  <c r="K90" i="5"/>
  <c r="K91" i="5"/>
  <c r="K92" i="5" s="1"/>
  <c r="K95" i="5"/>
  <c r="K96" i="5"/>
  <c r="K97" i="5" s="1"/>
  <c r="K98" i="5" s="1"/>
  <c r="K99" i="5" s="1"/>
  <c r="K100" i="5" s="1"/>
  <c r="K101" i="5" s="1"/>
  <c r="K102" i="5" s="1"/>
  <c r="K103" i="5" s="1"/>
  <c r="K104" i="5" s="1"/>
  <c r="K105" i="5" s="1"/>
  <c r="K106" i="5"/>
  <c r="K107" i="5"/>
  <c r="K118" i="5"/>
  <c r="K119" i="5"/>
  <c r="K120" i="5" s="1"/>
  <c r="K122" i="5"/>
  <c r="K123" i="5"/>
  <c r="K2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2" i="16"/>
  <c r="K27" i="5" l="1"/>
  <c r="K28" i="5" s="1"/>
  <c r="K35" i="5"/>
  <c r="K9" i="5"/>
  <c r="K86" i="5"/>
  <c r="K87" i="5" s="1"/>
  <c r="K17" i="5"/>
  <c r="K93" i="5"/>
  <c r="K94" i="5" s="1"/>
  <c r="K51" i="5"/>
  <c r="K121" i="5"/>
  <c r="K78" i="5"/>
  <c r="K79" i="5" s="1"/>
  <c r="K80" i="5" s="1"/>
  <c r="K66" i="5"/>
  <c r="K67" i="5" s="1"/>
  <c r="K61" i="5"/>
  <c r="K124" i="5"/>
  <c r="K108" i="5"/>
  <c r="K83" i="5"/>
  <c r="K72" i="5"/>
  <c r="K73" i="5" s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2" i="1"/>
  <c r="K18" i="5" l="1"/>
  <c r="K19" i="5" s="1"/>
  <c r="K20" i="5" s="1"/>
  <c r="K10" i="5"/>
  <c r="K11" i="5" s="1"/>
  <c r="K12" i="5" s="1"/>
  <c r="K13" i="5" s="1"/>
  <c r="K36" i="5"/>
  <c r="K37" i="5" s="1"/>
  <c r="K38" i="5" s="1"/>
  <c r="K39" i="5" s="1"/>
  <c r="K29" i="5"/>
  <c r="K30" i="5" s="1"/>
  <c r="K31" i="5" s="1"/>
  <c r="K52" i="5"/>
  <c r="K53" i="5" s="1"/>
  <c r="K54" i="5" s="1"/>
  <c r="K55" i="5" s="1"/>
  <c r="K109" i="5"/>
  <c r="K110" i="5" s="1"/>
  <c r="K111" i="5" s="1"/>
  <c r="K62" i="5"/>
  <c r="K63" i="5" s="1"/>
  <c r="O3" i="9"/>
  <c r="G2" i="9"/>
  <c r="K21" i="5" l="1"/>
  <c r="K112" i="5"/>
  <c r="K56" i="5"/>
  <c r="G1" i="9"/>
  <c r="J5" i="9"/>
  <c r="I19" i="6"/>
  <c r="I18" i="6"/>
  <c r="I17" i="6"/>
  <c r="D17" i="6"/>
  <c r="Y3" i="4" l="1"/>
  <c r="Y4" i="4"/>
  <c r="Y5" i="4"/>
  <c r="Y6" i="4"/>
  <c r="Y7" i="4"/>
  <c r="Y8" i="4"/>
  <c r="Y9" i="4"/>
  <c r="Y10" i="4"/>
  <c r="Y11" i="4"/>
  <c r="K22" i="5"/>
  <c r="Y12" i="4"/>
  <c r="G3" i="15"/>
  <c r="G3" i="13"/>
  <c r="K57" i="5"/>
  <c r="K113" i="5"/>
  <c r="G3" i="9"/>
  <c r="K23" i="5" l="1"/>
  <c r="K114" i="5"/>
  <c r="K58" i="5"/>
  <c r="M3" i="16"/>
  <c r="M4" i="16"/>
  <c r="J10" i="15" s="1"/>
  <c r="M5" i="16"/>
  <c r="J11" i="15" s="1"/>
  <c r="M6" i="16"/>
  <c r="M7" i="16"/>
  <c r="M8" i="16"/>
  <c r="M9" i="16"/>
  <c r="J15" i="15" s="1"/>
  <c r="M10" i="16"/>
  <c r="M11" i="16"/>
  <c r="M12" i="16"/>
  <c r="J18" i="15" s="1"/>
  <c r="M13" i="16"/>
  <c r="M14" i="16"/>
  <c r="M15" i="16"/>
  <c r="M16" i="16"/>
  <c r="M17" i="16"/>
  <c r="M18" i="16"/>
  <c r="M19" i="16"/>
  <c r="M20" i="16"/>
  <c r="J26" i="15" s="1"/>
  <c r="M21" i="16"/>
  <c r="M22" i="16"/>
  <c r="M23" i="16"/>
  <c r="M24" i="16"/>
  <c r="M25" i="16"/>
  <c r="M26" i="16"/>
  <c r="M27" i="16"/>
  <c r="M28" i="16"/>
  <c r="M29" i="16"/>
  <c r="M30" i="16"/>
  <c r="M31" i="16"/>
  <c r="J37" i="15" s="1"/>
  <c r="M32" i="16"/>
  <c r="M33" i="16"/>
  <c r="M34" i="16"/>
  <c r="J40" i="15" s="1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J55" i="15" s="1"/>
  <c r="M50" i="16"/>
  <c r="J56" i="15" s="1"/>
  <c r="M51" i="16"/>
  <c r="M52" i="16"/>
  <c r="M53" i="16"/>
  <c r="J59" i="15" s="1"/>
  <c r="M54" i="16"/>
  <c r="M55" i="16"/>
  <c r="M56" i="16"/>
  <c r="J62" i="15" s="1"/>
  <c r="M57" i="16"/>
  <c r="M58" i="16"/>
  <c r="M59" i="16"/>
  <c r="J65" i="15" s="1"/>
  <c r="M60" i="16"/>
  <c r="M61" i="16"/>
  <c r="J67" i="15" s="1"/>
  <c r="M62" i="16"/>
  <c r="J68" i="15" s="1"/>
  <c r="M2" i="16"/>
  <c r="M2" i="5"/>
  <c r="J8" i="9" s="1"/>
  <c r="L5" i="15"/>
  <c r="L6" i="15"/>
  <c r="M6" i="15"/>
  <c r="J5" i="15"/>
  <c r="L5" i="13"/>
  <c r="K6" i="15"/>
  <c r="K5" i="15"/>
  <c r="G5" i="15"/>
  <c r="G5" i="13"/>
  <c r="M5" i="13"/>
  <c r="K6" i="13"/>
  <c r="K6" i="9"/>
  <c r="K5" i="13"/>
  <c r="K5" i="9"/>
  <c r="J5" i="13"/>
  <c r="O5" i="9"/>
  <c r="L5" i="9"/>
  <c r="O6" i="9"/>
  <c r="N6" i="9"/>
  <c r="M6" i="9"/>
  <c r="L6" i="9"/>
  <c r="G5" i="9"/>
  <c r="M3" i="5"/>
  <c r="J9" i="9" s="1"/>
  <c r="M4" i="5"/>
  <c r="J10" i="9" s="1"/>
  <c r="M5" i="5"/>
  <c r="M6" i="5"/>
  <c r="J12" i="9" s="1"/>
  <c r="M7" i="5"/>
  <c r="J13" i="9" s="1"/>
  <c r="M8" i="5"/>
  <c r="J14" i="9" s="1"/>
  <c r="M9" i="5"/>
  <c r="J15" i="9" s="1"/>
  <c r="M10" i="5"/>
  <c r="J16" i="9" s="1"/>
  <c r="M11" i="5"/>
  <c r="J17" i="9" s="1"/>
  <c r="M12" i="5"/>
  <c r="J18" i="9" s="1"/>
  <c r="M13" i="5"/>
  <c r="J19" i="9" s="1"/>
  <c r="M14" i="5"/>
  <c r="M15" i="5"/>
  <c r="J21" i="9" s="1"/>
  <c r="M16" i="5"/>
  <c r="J22" i="9" s="1"/>
  <c r="M17" i="5"/>
  <c r="J23" i="9" s="1"/>
  <c r="M18" i="5"/>
  <c r="J24" i="9" s="1"/>
  <c r="M19" i="5"/>
  <c r="J25" i="9" s="1"/>
  <c r="M20" i="5"/>
  <c r="J26" i="9" s="1"/>
  <c r="M21" i="5"/>
  <c r="J27" i="9" s="1"/>
  <c r="M22" i="5"/>
  <c r="J28" i="9" s="1"/>
  <c r="M23" i="5"/>
  <c r="J29" i="9" s="1"/>
  <c r="M24" i="5"/>
  <c r="M25" i="5"/>
  <c r="J31" i="9" s="1"/>
  <c r="M26" i="5"/>
  <c r="J32" i="9" s="1"/>
  <c r="M27" i="5"/>
  <c r="J33" i="9" s="1"/>
  <c r="M28" i="5"/>
  <c r="J34" i="9" s="1"/>
  <c r="M29" i="5"/>
  <c r="J35" i="9" s="1"/>
  <c r="M30" i="5"/>
  <c r="J36" i="9" s="1"/>
  <c r="M31" i="5"/>
  <c r="J37" i="9" s="1"/>
  <c r="M32" i="5"/>
  <c r="J38" i="9" s="1"/>
  <c r="M33" i="5"/>
  <c r="M34" i="5"/>
  <c r="J40" i="9" s="1"/>
  <c r="M35" i="5"/>
  <c r="J41" i="9" s="1"/>
  <c r="M36" i="5"/>
  <c r="J42" i="9" s="1"/>
  <c r="M37" i="5"/>
  <c r="J43" i="9" s="1"/>
  <c r="M38" i="5"/>
  <c r="J44" i="9" s="1"/>
  <c r="M39" i="5"/>
  <c r="J45" i="9" s="1"/>
  <c r="M40" i="5"/>
  <c r="M41" i="5"/>
  <c r="J47" i="9" s="1"/>
  <c r="M42" i="5"/>
  <c r="J48" i="9" s="1"/>
  <c r="M43" i="5"/>
  <c r="J49" i="9" s="1"/>
  <c r="M44" i="5"/>
  <c r="J50" i="9" s="1"/>
  <c r="M45" i="5"/>
  <c r="J51" i="9" s="1"/>
  <c r="M46" i="5"/>
  <c r="J52" i="9" s="1"/>
  <c r="M47" i="5"/>
  <c r="J53" i="9" s="1"/>
  <c r="M48" i="5"/>
  <c r="J54" i="9" s="1"/>
  <c r="M49" i="5"/>
  <c r="M50" i="5"/>
  <c r="J56" i="9" s="1"/>
  <c r="M51" i="5"/>
  <c r="J57" i="9" s="1"/>
  <c r="M52" i="5"/>
  <c r="J58" i="9" s="1"/>
  <c r="M53" i="5"/>
  <c r="J59" i="9" s="1"/>
  <c r="M54" i="5"/>
  <c r="J60" i="9" s="1"/>
  <c r="M55" i="5"/>
  <c r="J61" i="9" s="1"/>
  <c r="M56" i="5"/>
  <c r="J62" i="9" s="1"/>
  <c r="M57" i="5"/>
  <c r="J63" i="9" s="1"/>
  <c r="M58" i="5"/>
  <c r="J64" i="9" s="1"/>
  <c r="M59" i="5"/>
  <c r="M60" i="5"/>
  <c r="J66" i="9" s="1"/>
  <c r="M61" i="5"/>
  <c r="J67" i="9" s="1"/>
  <c r="M62" i="5"/>
  <c r="J68" i="9" s="1"/>
  <c r="M63" i="5"/>
  <c r="J69" i="9" s="1"/>
  <c r="M64" i="5"/>
  <c r="M65" i="5"/>
  <c r="J71" i="9" s="1"/>
  <c r="M66" i="5"/>
  <c r="J72" i="9" s="1"/>
  <c r="M67" i="5"/>
  <c r="J73" i="9" s="1"/>
  <c r="M68" i="5"/>
  <c r="J8" i="13" s="1"/>
  <c r="M69" i="5"/>
  <c r="J9" i="13" s="1"/>
  <c r="M70" i="5"/>
  <c r="M71" i="5"/>
  <c r="J11" i="13" s="1"/>
  <c r="M72" i="5"/>
  <c r="J12" i="13" s="1"/>
  <c r="M73" i="5"/>
  <c r="J13" i="13" s="1"/>
  <c r="M74" i="5"/>
  <c r="M75" i="5"/>
  <c r="J15" i="13" s="1"/>
  <c r="M76" i="5"/>
  <c r="J16" i="13" s="1"/>
  <c r="M77" i="5"/>
  <c r="J17" i="13" s="1"/>
  <c r="M78" i="5"/>
  <c r="J18" i="13" s="1"/>
  <c r="M79" i="5"/>
  <c r="J19" i="13" s="1"/>
  <c r="M80" i="5"/>
  <c r="J20" i="13" s="1"/>
  <c r="M81" i="5"/>
  <c r="M82" i="5"/>
  <c r="J22" i="13" s="1"/>
  <c r="M83" i="5"/>
  <c r="J23" i="13" s="1"/>
  <c r="M84" i="5"/>
  <c r="M85" i="5"/>
  <c r="J25" i="13" s="1"/>
  <c r="M86" i="5"/>
  <c r="J26" i="13" s="1"/>
  <c r="M87" i="5"/>
  <c r="J27" i="13" s="1"/>
  <c r="M88" i="5"/>
  <c r="J28" i="13" s="1"/>
  <c r="M89" i="5"/>
  <c r="J29" i="13" s="1"/>
  <c r="M90" i="5"/>
  <c r="M91" i="5"/>
  <c r="J31" i="13" s="1"/>
  <c r="M92" i="5"/>
  <c r="J32" i="13" s="1"/>
  <c r="M93" i="5"/>
  <c r="J33" i="13" s="1"/>
  <c r="M94" i="5"/>
  <c r="J34" i="13" s="1"/>
  <c r="M95" i="5"/>
  <c r="M96" i="5"/>
  <c r="J36" i="13" s="1"/>
  <c r="M97" i="5"/>
  <c r="J37" i="13" s="1"/>
  <c r="M98" i="5"/>
  <c r="J38" i="13" s="1"/>
  <c r="M99" i="5"/>
  <c r="J39" i="13" s="1"/>
  <c r="M100" i="5"/>
  <c r="J40" i="13" s="1"/>
  <c r="M101" i="5"/>
  <c r="J41" i="13" s="1"/>
  <c r="M102" i="5"/>
  <c r="J42" i="13" s="1"/>
  <c r="M103" i="5"/>
  <c r="J43" i="13" s="1"/>
  <c r="M104" i="5"/>
  <c r="J44" i="13" s="1"/>
  <c r="M105" i="5"/>
  <c r="J45" i="13" s="1"/>
  <c r="M106" i="5"/>
  <c r="M107" i="5"/>
  <c r="J47" i="13" s="1"/>
  <c r="M108" i="5"/>
  <c r="J48" i="13" s="1"/>
  <c r="M109" i="5"/>
  <c r="J49" i="13" s="1"/>
  <c r="M110" i="5"/>
  <c r="J50" i="13" s="1"/>
  <c r="M111" i="5"/>
  <c r="J51" i="13" s="1"/>
  <c r="M112" i="5"/>
  <c r="J52" i="13" s="1"/>
  <c r="M113" i="5"/>
  <c r="J53" i="13" s="1"/>
  <c r="M114" i="5"/>
  <c r="J54" i="13" s="1"/>
  <c r="M115" i="5"/>
  <c r="J55" i="13" s="1"/>
  <c r="M116" i="5"/>
  <c r="J56" i="13" s="1"/>
  <c r="M117" i="5"/>
  <c r="J57" i="13" s="1"/>
  <c r="M118" i="5"/>
  <c r="M119" i="5"/>
  <c r="J59" i="13" s="1"/>
  <c r="M120" i="5"/>
  <c r="J60" i="13" s="1"/>
  <c r="M121" i="5"/>
  <c r="J61" i="13" s="1"/>
  <c r="M122" i="5"/>
  <c r="M123" i="5"/>
  <c r="J63" i="13" s="1"/>
  <c r="M124" i="5"/>
  <c r="J64" i="13" s="1"/>
  <c r="K115" i="5" l="1"/>
  <c r="K116" i="5" s="1"/>
  <c r="J62" i="13"/>
  <c r="J58" i="13"/>
  <c r="J46" i="13"/>
  <c r="J30" i="13"/>
  <c r="J14" i="13"/>
  <c r="J10" i="13"/>
  <c r="J20" i="9"/>
  <c r="J21" i="13"/>
  <c r="J55" i="9"/>
  <c r="J39" i="9"/>
  <c r="J11" i="9"/>
  <c r="J24" i="13"/>
  <c r="J70" i="9"/>
  <c r="J46" i="9"/>
  <c r="J30" i="9"/>
  <c r="J35" i="13"/>
  <c r="J65" i="9"/>
  <c r="J48" i="15"/>
  <c r="J44" i="15"/>
  <c r="J36" i="15"/>
  <c r="J28" i="15"/>
  <c r="J16" i="15"/>
  <c r="J63" i="15"/>
  <c r="J51" i="15"/>
  <c r="J47" i="15"/>
  <c r="J43" i="15"/>
  <c r="J39" i="15"/>
  <c r="J35" i="15"/>
  <c r="J31" i="15"/>
  <c r="J27" i="15"/>
  <c r="J23" i="15"/>
  <c r="J19" i="15"/>
  <c r="J66" i="15"/>
  <c r="J58" i="15"/>
  <c r="J54" i="15"/>
  <c r="J50" i="15"/>
  <c r="J46" i="15"/>
  <c r="J42" i="15"/>
  <c r="J38" i="15"/>
  <c r="J34" i="15"/>
  <c r="J30" i="15"/>
  <c r="J22" i="15"/>
  <c r="J14" i="15"/>
  <c r="J64" i="15"/>
  <c r="J60" i="15"/>
  <c r="J52" i="15"/>
  <c r="J32" i="15"/>
  <c r="J24" i="15"/>
  <c r="J20" i="15"/>
  <c r="J12" i="15"/>
  <c r="J8" i="15"/>
  <c r="J61" i="15"/>
  <c r="J57" i="15"/>
  <c r="J53" i="15"/>
  <c r="J49" i="15"/>
  <c r="J45" i="15"/>
  <c r="J41" i="15"/>
  <c r="J33" i="15"/>
  <c r="J29" i="15"/>
  <c r="J25" i="15"/>
  <c r="J21" i="15"/>
  <c r="J17" i="15"/>
  <c r="J13" i="15"/>
  <c r="J9" i="15"/>
  <c r="O2" i="4"/>
  <c r="C24" i="6" s="1"/>
  <c r="K117" i="5" l="1"/>
  <c r="D9" i="9"/>
  <c r="D10" i="9" s="1"/>
  <c r="D11" i="9"/>
  <c r="D12" i="9"/>
  <c r="D13" i="9" s="1"/>
  <c r="D14" i="9" s="1"/>
  <c r="D15" i="9" s="1"/>
  <c r="D16" i="9" s="1"/>
  <c r="D17" i="9" s="1"/>
  <c r="D18" i="9" s="1"/>
  <c r="D19" i="9" s="1"/>
  <c r="D20" i="9"/>
  <c r="D21" i="9"/>
  <c r="D22" i="9" s="1"/>
  <c r="D23" i="9" s="1"/>
  <c r="D24" i="9" s="1"/>
  <c r="D25" i="9" s="1"/>
  <c r="D26" i="9" s="1"/>
  <c r="D27" i="9" s="1"/>
  <c r="D28" i="9" s="1"/>
  <c r="D29" i="9" s="1"/>
  <c r="D30" i="9"/>
  <c r="D31" i="9"/>
  <c r="D32" i="9" s="1"/>
  <c r="D33" i="9" s="1"/>
  <c r="D34" i="9" s="1"/>
  <c r="D35" i="9" s="1"/>
  <c r="D36" i="9" s="1"/>
  <c r="D37" i="9" s="1"/>
  <c r="D38" i="9" s="1"/>
  <c r="D39" i="9"/>
  <c r="D40" i="9"/>
  <c r="D41" i="9" s="1"/>
  <c r="D42" i="9" s="1"/>
  <c r="D43" i="9" s="1"/>
  <c r="D44" i="9" s="1"/>
  <c r="D45" i="9" s="1"/>
  <c r="D46" i="9"/>
  <c r="D47" i="9"/>
  <c r="D48" i="9" s="1"/>
  <c r="D49" i="9" s="1"/>
  <c r="D50" i="9" s="1"/>
  <c r="D51" i="9" s="1"/>
  <c r="D52" i="9" s="1"/>
  <c r="D53" i="9" s="1"/>
  <c r="D54" i="9" s="1"/>
  <c r="D55" i="9"/>
  <c r="D56" i="9"/>
  <c r="D57" i="9" s="1"/>
  <c r="D58" i="9" s="1"/>
  <c r="D59" i="9" s="1"/>
  <c r="D60" i="9" s="1"/>
  <c r="D61" i="9" s="1"/>
  <c r="D62" i="9" s="1"/>
  <c r="D63" i="9" s="1"/>
  <c r="D64" i="9" s="1"/>
  <c r="D65" i="9"/>
  <c r="D66" i="9"/>
  <c r="D67" i="9" s="1"/>
  <c r="D68" i="9" s="1"/>
  <c r="D69" i="9" s="1"/>
  <c r="D71" i="9"/>
  <c r="D72" i="9" s="1"/>
  <c r="D73" i="9" s="1"/>
  <c r="D70" i="9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D29" i="13" s="1"/>
  <c r="C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1" i="13"/>
  <c r="D41" i="13"/>
  <c r="C42" i="13"/>
  <c r="D42" i="13"/>
  <c r="C43" i="13"/>
  <c r="D43" i="13"/>
  <c r="C44" i="13"/>
  <c r="D44" i="13"/>
  <c r="C45" i="13"/>
  <c r="D45" i="13"/>
  <c r="C46" i="13"/>
  <c r="D46" i="13"/>
  <c r="C47" i="13"/>
  <c r="D47" i="13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59" i="13"/>
  <c r="D59" i="13"/>
  <c r="C60" i="13"/>
  <c r="D60" i="13"/>
  <c r="C61" i="13"/>
  <c r="D61" i="13"/>
  <c r="C62" i="13"/>
  <c r="D62" i="13"/>
  <c r="C63" i="13"/>
  <c r="D63" i="13"/>
  <c r="C64" i="13"/>
  <c r="D64" i="13"/>
  <c r="C20" i="9"/>
  <c r="C21" i="9"/>
  <c r="C22" i="9" s="1"/>
  <c r="C23" i="9" s="1"/>
  <c r="C24" i="9" s="1"/>
  <c r="C25" i="9" s="1"/>
  <c r="C26" i="9" s="1"/>
  <c r="C27" i="9" s="1"/>
  <c r="C28" i="9" s="1"/>
  <c r="C29" i="9" s="1"/>
  <c r="C30" i="9"/>
  <c r="C31" i="9"/>
  <c r="C32" i="9" s="1"/>
  <c r="C33" i="9" s="1"/>
  <c r="C34" i="9" s="1"/>
  <c r="C35" i="9" s="1"/>
  <c r="C36" i="9" s="1"/>
  <c r="C37" i="9" s="1"/>
  <c r="C38" i="9"/>
  <c r="C39" i="9"/>
  <c r="C40" i="9"/>
  <c r="C41" i="9" s="1"/>
  <c r="C42" i="9" s="1"/>
  <c r="C43" i="9" s="1"/>
  <c r="C44" i="9" s="1"/>
  <c r="C45" i="9" s="1"/>
  <c r="C46" i="9"/>
  <c r="C47" i="9"/>
  <c r="C48" i="9" s="1"/>
  <c r="C49" i="9" s="1"/>
  <c r="C50" i="9" s="1"/>
  <c r="C51" i="9" s="1"/>
  <c r="C52" i="9" s="1"/>
  <c r="C53" i="9" s="1"/>
  <c r="C54" i="9" s="1"/>
  <c r="C55" i="9"/>
  <c r="C56" i="9"/>
  <c r="C57" i="9" s="1"/>
  <c r="C58" i="9" s="1"/>
  <c r="C59" i="9" s="1"/>
  <c r="C60" i="9" s="1"/>
  <c r="C61" i="9" s="1"/>
  <c r="C62" i="9" s="1"/>
  <c r="C63" i="9" s="1"/>
  <c r="C64" i="9" s="1"/>
  <c r="C65" i="9"/>
  <c r="C66" i="9"/>
  <c r="C67" i="9" s="1"/>
  <c r="C68" i="9" s="1"/>
  <c r="C69" i="9" s="1"/>
  <c r="C70" i="9"/>
  <c r="C71" i="9"/>
  <c r="C72" i="9" s="1"/>
  <c r="C73" i="9" s="1"/>
  <c r="C9" i="9"/>
  <c r="C10" i="9"/>
  <c r="C11" i="9"/>
  <c r="C12" i="9"/>
  <c r="C13" i="9" s="1"/>
  <c r="C14" i="9" s="1"/>
  <c r="C15" i="9" s="1"/>
  <c r="C16" i="9" s="1"/>
  <c r="C17" i="9" s="1"/>
  <c r="C18" i="9" s="1"/>
  <c r="C19" i="9" s="1"/>
  <c r="C55" i="15"/>
  <c r="C56" i="15"/>
  <c r="C57" i="15"/>
  <c r="C58" i="15"/>
  <c r="C59" i="15"/>
  <c r="C60" i="15"/>
  <c r="C61" i="15"/>
  <c r="C62" i="15"/>
  <c r="C63" i="15"/>
  <c r="C64" i="15"/>
  <c r="C65" i="15"/>
  <c r="C66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9" i="15"/>
  <c r="C10" i="15"/>
  <c r="C11" i="15"/>
  <c r="C12" i="15"/>
  <c r="C13" i="15"/>
  <c r="C8" i="15"/>
  <c r="N157" i="1" l="1"/>
  <c r="N127" i="1" l="1"/>
  <c r="N126" i="1"/>
  <c r="N125" i="1"/>
  <c r="N111" i="1" l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2" i="1"/>
  <c r="O2" i="9"/>
  <c r="O1" i="9"/>
  <c r="Y2" i="4" l="1"/>
  <c r="S12" i="4" l="1"/>
  <c r="C25" i="6" s="1"/>
  <c r="D25" i="6" s="1"/>
  <c r="M12" i="4" l="1"/>
  <c r="V12" i="4" s="1"/>
  <c r="D24" i="6"/>
  <c r="S2" i="4"/>
  <c r="M2" i="4" s="1"/>
  <c r="M47" i="9" l="1"/>
  <c r="M61" i="9"/>
  <c r="M32" i="9"/>
  <c r="M44" i="9"/>
  <c r="M60" i="9"/>
  <c r="M63" i="9"/>
  <c r="M17" i="9"/>
  <c r="M71" i="9"/>
  <c r="M28" i="9"/>
  <c r="M29" i="9"/>
  <c r="M27" i="9"/>
  <c r="M36" i="9"/>
  <c r="M41" i="9"/>
  <c r="M24" i="9"/>
  <c r="M53" i="9"/>
  <c r="M52" i="9"/>
  <c r="M13" i="9"/>
  <c r="M34" i="9"/>
  <c r="M15" i="9"/>
  <c r="M35" i="9"/>
  <c r="M19" i="9"/>
  <c r="M59" i="9"/>
  <c r="M45" i="9"/>
  <c r="M69" i="9"/>
  <c r="M64" i="9"/>
  <c r="M25" i="9"/>
  <c r="M26" i="9"/>
  <c r="M12" i="9"/>
  <c r="M73" i="9"/>
  <c r="M22" i="9"/>
  <c r="M72" i="9"/>
  <c r="M23" i="9"/>
  <c r="M57" i="9"/>
  <c r="M66" i="9"/>
  <c r="M51" i="9"/>
  <c r="M42" i="9"/>
  <c r="M33" i="9"/>
  <c r="M58" i="9"/>
  <c r="M56" i="9"/>
  <c r="M9" i="9"/>
  <c r="M43" i="9"/>
  <c r="M14" i="9"/>
  <c r="M48" i="9"/>
  <c r="M21" i="9"/>
  <c r="M62" i="9"/>
  <c r="M67" i="9"/>
  <c r="M31" i="9"/>
  <c r="M37" i="9"/>
  <c r="M49" i="9"/>
  <c r="M54" i="9"/>
  <c r="M18" i="9"/>
  <c r="M40" i="9"/>
  <c r="M68" i="9"/>
  <c r="M50" i="9"/>
  <c r="M16" i="9"/>
  <c r="N12" i="4"/>
  <c r="T12" i="4"/>
  <c r="U12" i="4"/>
  <c r="W12" i="4"/>
  <c r="U2" i="4"/>
  <c r="T2" i="4"/>
  <c r="N2" i="4"/>
  <c r="W2" i="4"/>
  <c r="V2" i="4"/>
  <c r="M30" i="9" l="1"/>
  <c r="L42" i="15"/>
  <c r="L58" i="15"/>
  <c r="L23" i="9"/>
  <c r="N23" i="9" s="1"/>
  <c r="L51" i="15"/>
  <c r="L41" i="15"/>
  <c r="L59" i="9"/>
  <c r="N59" i="9" s="1"/>
  <c r="L56" i="9"/>
  <c r="N56" i="9" s="1"/>
  <c r="L52" i="9"/>
  <c r="N52" i="9" s="1"/>
  <c r="L14" i="9"/>
  <c r="N14" i="9" s="1"/>
  <c r="L16" i="15"/>
  <c r="L61" i="15"/>
  <c r="L24" i="9"/>
  <c r="N24" i="9" s="1"/>
  <c r="L37" i="9"/>
  <c r="N37" i="9" s="1"/>
  <c r="L16" i="9"/>
  <c r="N16" i="9" s="1"/>
  <c r="L30" i="15"/>
  <c r="L44" i="13"/>
  <c r="L27" i="9"/>
  <c r="N27" i="9" s="1"/>
  <c r="L15" i="9"/>
  <c r="N15" i="9" s="1"/>
  <c r="L54" i="15"/>
  <c r="L53" i="9"/>
  <c r="N53" i="9" s="1"/>
  <c r="L20" i="13"/>
  <c r="L67" i="9"/>
  <c r="N67" i="9" s="1"/>
  <c r="L44" i="9"/>
  <c r="N44" i="9" s="1"/>
  <c r="L63" i="13"/>
  <c r="L43" i="15"/>
  <c r="L51" i="9"/>
  <c r="N51" i="9" s="1"/>
  <c r="L16" i="13"/>
  <c r="L33" i="9"/>
  <c r="N33" i="9" s="1"/>
  <c r="L52" i="15"/>
  <c r="L50" i="13"/>
  <c r="L61" i="9"/>
  <c r="N61" i="9" s="1"/>
  <c r="L66" i="15"/>
  <c r="L63" i="9"/>
  <c r="N63" i="9" s="1"/>
  <c r="L36" i="9"/>
  <c r="N36" i="9" s="1"/>
  <c r="L31" i="9"/>
  <c r="N31" i="9" s="1"/>
  <c r="L60" i="9"/>
  <c r="N60" i="9" s="1"/>
  <c r="L9" i="15"/>
  <c r="L69" i="9"/>
  <c r="N69" i="9" s="1"/>
  <c r="L27" i="15"/>
  <c r="L20" i="15"/>
  <c r="L52" i="13"/>
  <c r="L35" i="9"/>
  <c r="N35" i="9" s="1"/>
  <c r="L17" i="13"/>
  <c r="L62" i="9"/>
  <c r="N62" i="9" s="1"/>
  <c r="L29" i="9"/>
  <c r="N29" i="9" s="1"/>
  <c r="L43" i="9"/>
  <c r="N43" i="9" s="1"/>
  <c r="L32" i="15"/>
  <c r="L72" i="9"/>
  <c r="N72" i="9" s="1"/>
  <c r="L25" i="9"/>
  <c r="N25" i="9" s="1"/>
  <c r="L45" i="13"/>
  <c r="L53" i="13"/>
  <c r="L40" i="9"/>
  <c r="N40" i="9" s="1"/>
  <c r="L60" i="15"/>
  <c r="L47" i="13"/>
  <c r="L26" i="9"/>
  <c r="N26" i="9" s="1"/>
  <c r="L25" i="15"/>
  <c r="L73" i="9"/>
  <c r="N73" i="9" s="1"/>
  <c r="L31" i="13"/>
  <c r="L34" i="9"/>
  <c r="N34" i="9" s="1"/>
  <c r="L49" i="15"/>
  <c r="L18" i="9"/>
  <c r="N18" i="9" s="1"/>
  <c r="L12" i="9"/>
  <c r="N12" i="9" s="1"/>
  <c r="L23" i="15"/>
  <c r="L31" i="15"/>
  <c r="L48" i="9"/>
  <c r="N48" i="9" s="1"/>
  <c r="L58" i="9"/>
  <c r="N58" i="9" s="1"/>
  <c r="M55" i="9"/>
  <c r="M39" i="9"/>
  <c r="M20" i="9"/>
  <c r="L35" i="15"/>
  <c r="L17" i="9"/>
  <c r="N17" i="9" s="1"/>
  <c r="L15" i="13"/>
  <c r="L51" i="13"/>
  <c r="L42" i="9"/>
  <c r="N42" i="9" s="1"/>
  <c r="L32" i="9"/>
  <c r="N32" i="9" s="1"/>
  <c r="L71" i="9"/>
  <c r="N71" i="9" s="1"/>
  <c r="L17" i="15"/>
  <c r="L21" i="9"/>
  <c r="N21" i="9" s="1"/>
  <c r="L45" i="9"/>
  <c r="N45" i="9" s="1"/>
  <c r="L68" i="9"/>
  <c r="N68" i="9" s="1"/>
  <c r="L48" i="15"/>
  <c r="L54" i="13"/>
  <c r="L19" i="9"/>
  <c r="N19" i="9" s="1"/>
  <c r="L13" i="9"/>
  <c r="N13" i="9" s="1"/>
  <c r="L64" i="9"/>
  <c r="N64" i="9" s="1"/>
  <c r="N9" i="9"/>
  <c r="L47" i="15"/>
  <c r="L64" i="15"/>
  <c r="L37" i="13"/>
  <c r="L47" i="9"/>
  <c r="N47" i="9" s="1"/>
  <c r="L11" i="13"/>
  <c r="L66" i="9"/>
  <c r="N66" i="9" s="1"/>
  <c r="L28" i="9"/>
  <c r="N28" i="9" s="1"/>
  <c r="L41" i="13"/>
  <c r="M65" i="9"/>
  <c r="M46" i="9"/>
  <c r="L49" i="9"/>
  <c r="N49" i="9" s="1"/>
  <c r="L50" i="9"/>
  <c r="N50" i="9" s="1"/>
  <c r="L32" i="13"/>
  <c r="L64" i="13"/>
  <c r="L41" i="9"/>
  <c r="N41" i="9" s="1"/>
  <c r="L57" i="9"/>
  <c r="N57" i="9" s="1"/>
  <c r="L38" i="15"/>
  <c r="L54" i="9"/>
  <c r="N54" i="9" s="1"/>
  <c r="L22" i="9"/>
  <c r="N22" i="9" s="1"/>
  <c r="L13" i="13"/>
  <c r="M11" i="9"/>
  <c r="M70" i="9"/>
  <c r="L56" i="13"/>
  <c r="L39" i="13"/>
  <c r="L22" i="15"/>
  <c r="L19" i="13"/>
  <c r="L14" i="15"/>
  <c r="L60" i="13"/>
  <c r="L45" i="15"/>
  <c r="L61" i="13"/>
  <c r="L34" i="13"/>
  <c r="L27" i="13"/>
  <c r="M63" i="15"/>
  <c r="M51" i="15"/>
  <c r="M43" i="15"/>
  <c r="M22" i="15"/>
  <c r="M9" i="15"/>
  <c r="M56" i="13"/>
  <c r="M48" i="13"/>
  <c r="M39" i="13"/>
  <c r="M27" i="13"/>
  <c r="M17" i="13"/>
  <c r="O66" i="9"/>
  <c r="O48" i="9"/>
  <c r="O31" i="9"/>
  <c r="M35" i="15"/>
  <c r="M61" i="15"/>
  <c r="M50" i="15"/>
  <c r="M42" i="15"/>
  <c r="M21" i="15"/>
  <c r="M8" i="15"/>
  <c r="M55" i="13"/>
  <c r="M47" i="13"/>
  <c r="M38" i="13"/>
  <c r="M26" i="13"/>
  <c r="M16" i="13"/>
  <c r="O68" i="9"/>
  <c r="O50" i="9"/>
  <c r="M30" i="15"/>
  <c r="O53" i="9"/>
  <c r="O23" i="9"/>
  <c r="O12" i="9"/>
  <c r="O69" i="9"/>
  <c r="O33" i="9"/>
  <c r="O14" i="9"/>
  <c r="O13" i="9"/>
  <c r="O27" i="9"/>
  <c r="O22" i="9"/>
  <c r="M28" i="15"/>
  <c r="M63" i="13"/>
  <c r="M36" i="13"/>
  <c r="M13" i="13"/>
  <c r="M34" i="15"/>
  <c r="O40" i="9"/>
  <c r="O72" i="9"/>
  <c r="M36" i="15"/>
  <c r="O62" i="9"/>
  <c r="O17" i="9"/>
  <c r="M57" i="15"/>
  <c r="M47" i="15"/>
  <c r="M27" i="15"/>
  <c r="M26" i="15" s="1"/>
  <c r="M16" i="15"/>
  <c r="M61" i="13"/>
  <c r="M52" i="13"/>
  <c r="M43" i="13"/>
  <c r="M34" i="13"/>
  <c r="M22" i="13"/>
  <c r="M12" i="13"/>
  <c r="O59" i="9"/>
  <c r="O41" i="9"/>
  <c r="O24" i="9"/>
  <c r="M31" i="15"/>
  <c r="M54" i="15"/>
  <c r="M46" i="15"/>
  <c r="M25" i="15"/>
  <c r="M14" i="15"/>
  <c r="M60" i="13"/>
  <c r="M51" i="13"/>
  <c r="M42" i="13"/>
  <c r="M33" i="13"/>
  <c r="M20" i="13"/>
  <c r="M11" i="13"/>
  <c r="O57" i="9"/>
  <c r="M32" i="15"/>
  <c r="O64" i="9"/>
  <c r="O34" i="9"/>
  <c r="O19" i="9"/>
  <c r="O44" i="9"/>
  <c r="O49" i="9"/>
  <c r="O37" i="9"/>
  <c r="O29" i="9"/>
  <c r="O47" i="9"/>
  <c r="O42" i="9"/>
  <c r="O15" i="9"/>
  <c r="M66" i="15"/>
  <c r="M53" i="15"/>
  <c r="M45" i="15"/>
  <c r="M24" i="15"/>
  <c r="M13" i="15"/>
  <c r="M59" i="13"/>
  <c r="M50" i="13"/>
  <c r="M41" i="13"/>
  <c r="M32" i="13"/>
  <c r="M19" i="13"/>
  <c r="O73" i="9"/>
  <c r="O52" i="9"/>
  <c r="O35" i="9"/>
  <c r="M38" i="15"/>
  <c r="M64" i="15"/>
  <c r="M52" i="15"/>
  <c r="M44" i="15"/>
  <c r="M23" i="15"/>
  <c r="M12" i="15"/>
  <c r="M57" i="13"/>
  <c r="M49" i="13"/>
  <c r="M40" i="13"/>
  <c r="M31" i="13"/>
  <c r="M18" i="13"/>
  <c r="O71" i="9"/>
  <c r="O54" i="9"/>
  <c r="M39" i="15"/>
  <c r="O56" i="9"/>
  <c r="O32" i="9"/>
  <c r="O16" i="9"/>
  <c r="O36" i="9"/>
  <c r="O43" i="9"/>
  <c r="O25" i="9"/>
  <c r="O18" i="9"/>
  <c r="O58" i="9"/>
  <c r="O26" i="9"/>
  <c r="M60" i="15"/>
  <c r="M49" i="15"/>
  <c r="M41" i="15"/>
  <c r="M20" i="15"/>
  <c r="M64" i="13"/>
  <c r="M54" i="13"/>
  <c r="M45" i="13"/>
  <c r="M37" i="13"/>
  <c r="M25" i="13"/>
  <c r="M15" i="13"/>
  <c r="O63" i="9"/>
  <c r="O45" i="9"/>
  <c r="O28" i="9"/>
  <c r="M33" i="15"/>
  <c r="M58" i="15"/>
  <c r="M48" i="15"/>
  <c r="M17" i="15"/>
  <c r="M53" i="13"/>
  <c r="M44" i="13"/>
  <c r="M23" i="13"/>
  <c r="O61" i="9"/>
  <c r="O67" i="9"/>
  <c r="O21" i="9"/>
  <c r="O60" i="9"/>
  <c r="O51" i="9"/>
  <c r="O9" i="9"/>
  <c r="L12" i="13"/>
  <c r="L22" i="13"/>
  <c r="L23" i="13"/>
  <c r="L8" i="15"/>
  <c r="L48" i="13"/>
  <c r="L57" i="15"/>
  <c r="L39" i="15"/>
  <c r="L46" i="15"/>
  <c r="L13" i="15"/>
  <c r="L49" i="13"/>
  <c r="L25" i="13"/>
  <c r="L59" i="13"/>
  <c r="L63" i="15"/>
  <c r="L12" i="15"/>
  <c r="L50" i="15"/>
  <c r="L57" i="13"/>
  <c r="L26" i="13"/>
  <c r="L33" i="13"/>
  <c r="L36" i="13"/>
  <c r="L38" i="13"/>
  <c r="L33" i="15"/>
  <c r="L53" i="15"/>
  <c r="L44" i="15"/>
  <c r="L55" i="13"/>
  <c r="L42" i="13"/>
  <c r="L34" i="15"/>
  <c r="L18" i="13"/>
  <c r="L40" i="13"/>
  <c r="L43" i="13"/>
  <c r="L21" i="15"/>
  <c r="L24" i="15"/>
  <c r="L28" i="15"/>
  <c r="L36" i="15"/>
  <c r="L40" i="15" l="1"/>
  <c r="L55" i="15" s="1"/>
  <c r="L15" i="15"/>
  <c r="L56" i="15"/>
  <c r="L26" i="15"/>
  <c r="L62" i="15"/>
  <c r="L65" i="15" s="1"/>
  <c r="L29" i="15"/>
  <c r="M24" i="13"/>
  <c r="L11" i="15"/>
  <c r="L11" i="9"/>
  <c r="N11" i="9" s="1"/>
  <c r="L62" i="13"/>
  <c r="L65" i="9"/>
  <c r="N65" i="9" s="1"/>
  <c r="L58" i="13"/>
  <c r="L21" i="13"/>
  <c r="L19" i="15"/>
  <c r="M19" i="15"/>
  <c r="M10" i="13"/>
  <c r="L30" i="9"/>
  <c r="N30" i="9" s="1"/>
  <c r="L10" i="15"/>
  <c r="L70" i="9"/>
  <c r="N70" i="9" s="1"/>
  <c r="M38" i="9"/>
  <c r="L14" i="13"/>
  <c r="O70" i="9"/>
  <c r="M10" i="15"/>
  <c r="L10" i="13"/>
  <c r="L20" i="9"/>
  <c r="N20" i="9" s="1"/>
  <c r="L30" i="13"/>
  <c r="L46" i="13"/>
  <c r="M40" i="15"/>
  <c r="M55" i="15" s="1"/>
  <c r="M10" i="9"/>
  <c r="L39" i="9"/>
  <c r="N39" i="9" s="1"/>
  <c r="M58" i="13"/>
  <c r="M15" i="15"/>
  <c r="M62" i="13"/>
  <c r="L55" i="9"/>
  <c r="N55" i="9" s="1"/>
  <c r="L46" i="9"/>
  <c r="N46" i="9" s="1"/>
  <c r="L24" i="13"/>
  <c r="O55" i="9"/>
  <c r="O39" i="9"/>
  <c r="O11" i="9"/>
  <c r="O20" i="9"/>
  <c r="M30" i="13"/>
  <c r="M11" i="15"/>
  <c r="M46" i="13"/>
  <c r="O30" i="9"/>
  <c r="M62" i="15"/>
  <c r="M65" i="15" s="1"/>
  <c r="M14" i="13"/>
  <c r="O46" i="9"/>
  <c r="M21" i="13"/>
  <c r="M56" i="15"/>
  <c r="M35" i="13"/>
  <c r="M29" i="15"/>
  <c r="O65" i="9"/>
  <c r="L35" i="13"/>
  <c r="L18" i="15" l="1"/>
  <c r="L37" i="15" s="1"/>
  <c r="L59" i="15" s="1"/>
  <c r="L67" i="15" s="1"/>
  <c r="L10" i="9"/>
  <c r="N10" i="9" s="1"/>
  <c r="M8" i="9"/>
  <c r="M18" i="15"/>
  <c r="M37" i="15" s="1"/>
  <c r="L29" i="13"/>
  <c r="L38" i="9"/>
  <c r="N38" i="9" s="1"/>
  <c r="M29" i="13"/>
  <c r="O38" i="9"/>
  <c r="O10" i="9"/>
  <c r="Q7" i="9" l="1"/>
  <c r="Q5" i="9"/>
  <c r="C31" i="6"/>
  <c r="O5" i="15"/>
  <c r="O7" i="15"/>
  <c r="L28" i="13"/>
  <c r="L9" i="13" s="1"/>
  <c r="L68" i="15"/>
  <c r="M59" i="15"/>
  <c r="M67" i="15" s="1"/>
  <c r="M28" i="13" s="1"/>
  <c r="M68" i="15"/>
  <c r="L8" i="9"/>
  <c r="N8" i="9" s="1"/>
  <c r="O8" i="9"/>
  <c r="P7" i="15"/>
  <c r="R7" i="9" l="1"/>
  <c r="C28" i="6"/>
  <c r="O7" i="13"/>
  <c r="C32" i="6"/>
  <c r="C33" i="6" s="1"/>
  <c r="R5" i="9"/>
  <c r="O5" i="13"/>
  <c r="D28" i="6"/>
  <c r="P5" i="15"/>
  <c r="D31" i="6"/>
  <c r="M9" i="13"/>
  <c r="P7" i="13" s="1"/>
  <c r="D32" i="6"/>
  <c r="L8" i="13"/>
  <c r="C29" i="6" s="1"/>
  <c r="C30" i="6" s="1"/>
  <c r="D33" i="6" l="1"/>
  <c r="M8" i="13"/>
  <c r="D29" i="6" s="1"/>
  <c r="D30" i="6" s="1"/>
  <c r="P5" i="13"/>
</calcChain>
</file>

<file path=xl/sharedStrings.xml><?xml version="1.0" encoding="utf-8"?>
<sst xmlns="http://schemas.openxmlformats.org/spreadsheetml/2006/main" count="3814" uniqueCount="937">
  <si>
    <t>Zřizovací výdaje</t>
  </si>
  <si>
    <t>Nehmotné výsledky výzkumu a vývoje</t>
  </si>
  <si>
    <t>Software</t>
  </si>
  <si>
    <t>Ocenitelná práva</t>
  </si>
  <si>
    <t>Goodwill</t>
  </si>
  <si>
    <t>Jiný dlouhodobý nehmotný majetek</t>
  </si>
  <si>
    <t>Stavby</t>
  </si>
  <si>
    <t>Samostatné movité věci a soubory movitých věcí</t>
  </si>
  <si>
    <t>Pěstitelské celky trvalých porostů</t>
  </si>
  <si>
    <t>Dospělá zvířata a jejich skupiny</t>
  </si>
  <si>
    <t>Jiný dlouhodobý hmotný majetek</t>
  </si>
  <si>
    <t>Pozemky</t>
  </si>
  <si>
    <t>Umělecká díla a sbírky</t>
  </si>
  <si>
    <t>Pořízení dlouhodobého nehmotného majetku</t>
  </si>
  <si>
    <t>Pořízení dlouhodobého hmotného majetku</t>
  </si>
  <si>
    <t>Pořízení dlouhodobého finančního majetku</t>
  </si>
  <si>
    <t>Poskytnuté zálohy na dlouhodobý nehmotný majetek</t>
  </si>
  <si>
    <t>Poskytnuté zálohy na dlouhodobý hmotný majetek</t>
  </si>
  <si>
    <t>Poskytnuté zálohy na dlouhodobý finanční majetek</t>
  </si>
  <si>
    <t>Podíly v ovládaných a řízených osobách</t>
  </si>
  <si>
    <t>Podíly v účetních jednotkách pod podstatným vlivem</t>
  </si>
  <si>
    <t>Ostatní cenné papíry a podíly</t>
  </si>
  <si>
    <t>Dluhové cenné papíry držené do splatnosti</t>
  </si>
  <si>
    <t>Půjčky a úvěry - ovládající a řídící osoby, podstatný vliv</t>
  </si>
  <si>
    <t>Ostatní půjčky</t>
  </si>
  <si>
    <t>Jiný dlouhodobý finanční majetek</t>
  </si>
  <si>
    <t>Oprávky ke zřizovacím výdajům</t>
  </si>
  <si>
    <t>Oprávky k nehmotným výsledkům výzkumu a vývoje</t>
  </si>
  <si>
    <t>Oprávky k softwaru</t>
  </si>
  <si>
    <t>Oprávky k ocenitelným právům</t>
  </si>
  <si>
    <t>Oprávky ke goodwillu</t>
  </si>
  <si>
    <t>Oprávky k jinému dlouhodobému nehmotnému majetku</t>
  </si>
  <si>
    <t>Oprávky ke stavbám</t>
  </si>
  <si>
    <t>Oprávky k samost. movitým věcem a souborům movitých věcí</t>
  </si>
  <si>
    <t>Oprávky k pěstitelským celkům trvalých porostů</t>
  </si>
  <si>
    <t>Oprávky k základnímu stádu a tažným zvířatům</t>
  </si>
  <si>
    <t>Oprávky k jinému dlouhodobému hmotnému majetku</t>
  </si>
  <si>
    <t>Opravná položka k dlouhodobému nehmotnému majetku</t>
  </si>
  <si>
    <t>Opravná položka k dlouhodobému hmotnému majetku</t>
  </si>
  <si>
    <t>Opravná položka k dlouhodobému nedokončenému nehmotnému majetku</t>
  </si>
  <si>
    <t>Opravná položka k dlouhodobému nedokončenému hmotnému majetku</t>
  </si>
  <si>
    <t>Opravná položka k poskytnutým zálohám na dlouhodobý majetek</t>
  </si>
  <si>
    <t>Opravná položka k dlouhodobému finančnímu majetku</t>
  </si>
  <si>
    <t>Oceňovací rozdíl k nabytému majetku</t>
  </si>
  <si>
    <t>Oprávky k oceňovacímu rozdílu k nabytému majetku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</si>
  <si>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</si>
  <si>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</si>
  <si>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</si>
  <si>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</si>
  <si>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</si>
  <si>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</si>
  <si>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Mladá a ostatní zvířata a jejich skupiny</t>
  </si>
  <si>
    <t>Pořízení zboží</t>
  </si>
  <si>
    <t>Zboží na skladě a v prodejnách</t>
  </si>
  <si>
    <t>Zboží na cestě</t>
  </si>
  <si>
    <t>Poskytnuté zálohy na materiál</t>
  </si>
  <si>
    <t>Poskytnuté zálohy na zvířata</t>
  </si>
  <si>
    <t>Poskytnuté zálohy na zboží</t>
  </si>
  <si>
    <t>Opravná položka k materiálu</t>
  </si>
  <si>
    <t>Opravná položka k nedokončené výrobě</t>
  </si>
  <si>
    <t>Opravná položka k polotovarům vlastní výroby</t>
  </si>
  <si>
    <t>Opravná položka k výrobkům</t>
  </si>
  <si>
    <t>Opravná položka ke zvířatům</t>
  </si>
  <si>
    <t>Opravná položka ke zboží</t>
  </si>
  <si>
    <t>Opravná položka k zálohám na materiál</t>
  </si>
  <si>
    <t>Opravná položka k zálohám na zboží</t>
  </si>
  <si>
    <t>Opravná položka k zálohám na zvířata</t>
  </si>
  <si>
    <t>Peníze</t>
  </si>
  <si>
    <t>Pokladna</t>
  </si>
  <si>
    <t>Ceniny</t>
  </si>
  <si>
    <t>Bankovní účty</t>
  </si>
  <si>
    <t>Krátkodobé bankovní úvěry</t>
  </si>
  <si>
    <t>Eskontní úvěry</t>
  </si>
  <si>
    <t>Emitované krátkodobé dluhopisy</t>
  </si>
  <si>
    <t>Ostatní krátkodobé finanční výpomoci</t>
  </si>
  <si>
    <t>Registrované majetkové cenné papíry k obchodování</t>
  </si>
  <si>
    <t>Vlastní akcie a vlastní obchodní podíly</t>
  </si>
  <si>
    <t>Registrované dluhové cenné papíry k obchodování</t>
  </si>
  <si>
    <t>Vlastní dluhopisy</t>
  </si>
  <si>
    <t>Dluhové cenné papíry se splat. do 1 roku držené do splatnosti</t>
  </si>
  <si>
    <t>Ostatní cenné papíry k obchodování</t>
  </si>
  <si>
    <t>Krátkodobý finanční majetek</t>
  </si>
  <si>
    <t>Pořizování krátkodobého finančního majetku</t>
  </si>
  <si>
    <t>Peníze na cestě</t>
  </si>
  <si>
    <t>Opravná položka ke krátkodobému finančnímu majetku</t>
  </si>
  <si>
    <t>typ</t>
  </si>
  <si>
    <t>Pohledávky z obchodních vztahů</t>
  </si>
  <si>
    <t>Směnky k inkasu</t>
  </si>
  <si>
    <t>Pohledávky za eskontované cenné papíry</t>
  </si>
  <si>
    <t>Poskytnuté zálohy - dlouhodobé a krátkodobé</t>
  </si>
  <si>
    <t>Ostatní pohledávky</t>
  </si>
  <si>
    <t>Závazky z obchodních vztahů</t>
  </si>
  <si>
    <t>Směnka k úhradě</t>
  </si>
  <si>
    <t>Přijaté provozní zálohy</t>
  </si>
  <si>
    <t>Ostatní závazky</t>
  </si>
  <si>
    <t>Zaměstnanci</t>
  </si>
  <si>
    <t>Ostatní závazky vůči zaměstnancům</t>
  </si>
  <si>
    <t>Pohledávky za zaměstnanci</t>
  </si>
  <si>
    <t>Zúčtování s institucemi sociál. zabezpečení a zdravot. pojištění</t>
  </si>
  <si>
    <t>Daň z příjmů</t>
  </si>
  <si>
    <t>Ostatní přímé daně</t>
  </si>
  <si>
    <t>Daň z přidané hodnoty</t>
  </si>
  <si>
    <t>Ostatní daně a poplatky</t>
  </si>
  <si>
    <t>Dotace ze státního rozpočtu</t>
  </si>
  <si>
    <t>Ostatní dotace</t>
  </si>
  <si>
    <t>Vyrovnávací účet pro DPH</t>
  </si>
  <si>
    <t>Pohledávky - ovládající a řídící osoba</t>
  </si>
  <si>
    <t>Pohledávky - podstatný vliv</t>
  </si>
  <si>
    <t>Pohledávky za upsaný základní kapitál</t>
  </si>
  <si>
    <t>Pohledávky za společníky při úhradě ztráty</t>
  </si>
  <si>
    <t>Ostatní pohledávky za společníky a členy družstva</t>
  </si>
  <si>
    <t>Pohledávky za účastníky sdružení</t>
  </si>
  <si>
    <t>Závazky - ovládající a řídící osoba</t>
  </si>
  <si>
    <t>Závazky - podstatný vliv</t>
  </si>
  <si>
    <t>Závazky ke společníkům při rozdělování zisku</t>
  </si>
  <si>
    <t>Ostatní závazky ke společníkům a členům družstva</t>
  </si>
  <si>
    <t>Závazky ke společníkům a členům družstva ze závislé činnosti</t>
  </si>
  <si>
    <t>Závazky z upsaných nesplacených cenných papírů a vkladů</t>
  </si>
  <si>
    <t>Závazky k účastníkům sdružení</t>
  </si>
  <si>
    <t>Pohledávky z prodeje podniku</t>
  </si>
  <si>
    <t>Závazky z koupě podniku</t>
  </si>
  <si>
    <t>Pohledávky a závazky z pevných termínových operací</t>
  </si>
  <si>
    <t>Pohledávky z pronájmu</t>
  </si>
  <si>
    <t>Pohledávky z emitovaných dluhopisů</t>
  </si>
  <si>
    <t>Nakoupené opce</t>
  </si>
  <si>
    <t>Prodané opce</t>
  </si>
  <si>
    <t>Jiné pohledávky</t>
  </si>
  <si>
    <t>Jiné závazky</t>
  </si>
  <si>
    <t>Náklady příštích období</t>
  </si>
  <si>
    <t>Komplexní náklady příštích období</t>
  </si>
  <si>
    <t>Výdaje příštích období</t>
  </si>
  <si>
    <t>Výnosy příštích období</t>
  </si>
  <si>
    <t>Příjmy příštích období</t>
  </si>
  <si>
    <t>Dohadné účty aktivní</t>
  </si>
  <si>
    <t>Dohadné účty pasivní</t>
  </si>
  <si>
    <t>Opravná položka k pohledávkám</t>
  </si>
  <si>
    <t>Vnitřní zúčtování</t>
  </si>
  <si>
    <t>Spojovací účet při sdružení</t>
  </si>
  <si>
    <t>Základní kapitál</t>
  </si>
  <si>
    <t>Emisní ažio</t>
  </si>
  <si>
    <t>Ostatní kapitálové fondy</t>
  </si>
  <si>
    <t>Oceňovací rozdíly z přecenění majetku a závazků</t>
  </si>
  <si>
    <t>Rozdíly z přeměn společností</t>
  </si>
  <si>
    <t>Oceňovací rozdíly z přecenění při přeměnách společností</t>
  </si>
  <si>
    <t>Změny základního kapitálu</t>
  </si>
  <si>
    <t>Zákonný rezervní fond</t>
  </si>
  <si>
    <t>Nedělitelný fond</t>
  </si>
  <si>
    <t>Statutární fondy</t>
  </si>
  <si>
    <t>Jiný výsledek hospodaření minulých let</t>
  </si>
  <si>
    <t>Ostatní fondy</t>
  </si>
  <si>
    <t>Nerozdělený zisk minulých let</t>
  </si>
  <si>
    <t>Neuhrazená ztráta minulých let</t>
  </si>
  <si>
    <t>Výsledek hospodaření ve schvalovacím řízení</t>
  </si>
  <si>
    <t>Rezervy podle zvláštních právních předpisů</t>
  </si>
  <si>
    <t>Rezerva na důchody a podobné závazky</t>
  </si>
  <si>
    <t>Rezerva na daň z příjmů</t>
  </si>
  <si>
    <t>Ostatní rezervy</t>
  </si>
  <si>
    <t>Bankovní úvěry</t>
  </si>
  <si>
    <t>Dlouhodobé závazky - ovládající a řídící osoba</t>
  </si>
  <si>
    <t>Dlouhodobé závazky - podstatný vliv</t>
  </si>
  <si>
    <t>Emitované dluhopisy</t>
  </si>
  <si>
    <t>Závazky z pronájmu</t>
  </si>
  <si>
    <t>Dlouhodobé přijaté zálohy</t>
  </si>
  <si>
    <t>Dlouhodobé směnky k úhradě</t>
  </si>
  <si>
    <t>Jiné dlouhodobé závazky</t>
  </si>
  <si>
    <t>Odložený daňový závazek a pohledávka</t>
  </si>
  <si>
    <t>Účet individuálního podnikatele</t>
  </si>
  <si>
    <t>Spotřeba materiálu</t>
  </si>
  <si>
    <t>Spotřeba energie</t>
  </si>
  <si>
    <t>Spotřeba ostatních neskladovatelných dodávek</t>
  </si>
  <si>
    <t>Prodané zboží</t>
  </si>
  <si>
    <t>Služby</t>
  </si>
  <si>
    <t>Opravy a udržování</t>
  </si>
  <si>
    <t>Cestovné</t>
  </si>
  <si>
    <t>Náklady na reprezentaci</t>
  </si>
  <si>
    <t>Ostatní služby</t>
  </si>
  <si>
    <t>Mzdové náklady</t>
  </si>
  <si>
    <t>Příjmy společníků a členů družstva ze závislé činnosti</t>
  </si>
  <si>
    <t>Odměny členům orgánů společnosti a družstva</t>
  </si>
  <si>
    <t>Zákonné sociální pojištění</t>
  </si>
  <si>
    <t>Ostatní sociální pojištění</t>
  </si>
  <si>
    <t>Sociální náklady individuálního podnikatele</t>
  </si>
  <si>
    <t>Zákonné sociální náklady</t>
  </si>
  <si>
    <t>Ostatní sociální náklady</t>
  </si>
  <si>
    <t>Daně a poplatky</t>
  </si>
  <si>
    <t>Daň silniční</t>
  </si>
  <si>
    <t>Daň z nemovitostí</t>
  </si>
  <si>
    <t>Zůstatková cena prodaného dlouhodobého nehmotného a hmotného majetku</t>
  </si>
  <si>
    <t>Prodaný materiál</t>
  </si>
  <si>
    <t>Dary</t>
  </si>
  <si>
    <t>Smluvní pokuty a úroky z prodlení</t>
  </si>
  <si>
    <t>Ostatní pokuty a penále</t>
  </si>
  <si>
    <t>Odpis pohledávky</t>
  </si>
  <si>
    <t>Ostatní provozní náklady</t>
  </si>
  <si>
    <t>Manka a škody z provozní činnosti</t>
  </si>
  <si>
    <t>Odpisy dlouhodobého nehmotného a hmotného majetku</t>
  </si>
  <si>
    <t>Tvorba a zúčtování rezerv podle zvláštních právních předpisů</t>
  </si>
  <si>
    <t>Tvorba a zúčtování ostatních rezerv</t>
  </si>
  <si>
    <t>Tvorba a zúčtování komplexních nákladů příštích období</t>
  </si>
  <si>
    <t>Zúčtování oprávky k oceňovacímu rozdílu k nabytému majetku</t>
  </si>
  <si>
    <t>Tvorba a zúčtování zákonných opravných položek v provozní činnosti</t>
  </si>
  <si>
    <t>Tvorba a zúčtování opravných položek v provozní činnosti</t>
  </si>
  <si>
    <t>Prodané cenné papíry a podíly</t>
  </si>
  <si>
    <t>Úroky</t>
  </si>
  <si>
    <t>Kurzové ztráty</t>
  </si>
  <si>
    <t>Náklady z přecenění cenných papírů</t>
  </si>
  <si>
    <t>Náklady z finančního majetku</t>
  </si>
  <si>
    <t>Náklady z derivátových operací</t>
  </si>
  <si>
    <t>Ostatní finanční náklady</t>
  </si>
  <si>
    <t>Manka a škody na finančním majetku</t>
  </si>
  <si>
    <t>Tvorba a zúčtování finančních rezerv</t>
  </si>
  <si>
    <t>Tvorba a zúčtování opravných položek ve finanční činnosti</t>
  </si>
  <si>
    <t>Mimořádné náklady</t>
  </si>
  <si>
    <t>Náklady na změnu metody</t>
  </si>
  <si>
    <t>Škody</t>
  </si>
  <si>
    <t>Tvorba a zúčtování mimořádných rezerv</t>
  </si>
  <si>
    <t>Ostatní mimořádné náklady</t>
  </si>
  <si>
    <t>Tvorba a zúčtování opravných položek v mimořádné činnosti</t>
  </si>
  <si>
    <t>Daň z příjmů z běžné činnosti - splatná</t>
  </si>
  <si>
    <t>Daň z příjmů z běžné činnosti - odložená</t>
  </si>
  <si>
    <t>Daň z příjmů z mimořádné činnosti - splatná</t>
  </si>
  <si>
    <t>Daň z příjmů z mimořádné činnosti - odložená</t>
  </si>
  <si>
    <t>Dodatečné odvody daně z příjmů</t>
  </si>
  <si>
    <t>Převod podílu na výsledku hospodaření společníkům</t>
  </si>
  <si>
    <t>Převod provozních nákladů</t>
  </si>
  <si>
    <t>Převod finančních nákladů</t>
  </si>
  <si>
    <t>Rezerva na daň z příjmu</t>
  </si>
  <si>
    <t>Tržby za vlastní výrobky</t>
  </si>
  <si>
    <t>Tržby z prodeje služeb</t>
  </si>
  <si>
    <t>Tržby za zboží</t>
  </si>
  <si>
    <t>Změna stavu nedokončené výroby</t>
  </si>
  <si>
    <t>Změna stavu polotovarů vlastní výroby</t>
  </si>
  <si>
    <t>Změna stavu výrobků</t>
  </si>
  <si>
    <t>Změna stavu zvířat</t>
  </si>
  <si>
    <t>Aktivace</t>
  </si>
  <si>
    <t>Aktivace materiálu a zboží</t>
  </si>
  <si>
    <t>Aktivace vnitropodnikových služeb</t>
  </si>
  <si>
    <t>Aktivace dlouhodobého nehmotného majetku</t>
  </si>
  <si>
    <t>Aktivace dlouhodobého hmotného majetku</t>
  </si>
  <si>
    <t>Tržby z prodeje dlouhodobého nehmotného a hmotného majetku</t>
  </si>
  <si>
    <t>Tržby z prodeje materiálu</t>
  </si>
  <si>
    <t>Výnosy z odepsaných pohledávek</t>
  </si>
  <si>
    <t>Ostatní provozní výnosy</t>
  </si>
  <si>
    <t>Tržby z prodeje cenných papírů a podílů</t>
  </si>
  <si>
    <t>Kursové zisky</t>
  </si>
  <si>
    <t>Výnosy z přecenění cenných papírů</t>
  </si>
  <si>
    <t>Výnosy z dlouhodobého finančního majetku</t>
  </si>
  <si>
    <t>Výnosy z krátkodobého finančního majetku</t>
  </si>
  <si>
    <t>Výnosy z derivátových operací</t>
  </si>
  <si>
    <t>Ostatní finanční výnosy</t>
  </si>
  <si>
    <t>Mimořádné výnosy</t>
  </si>
  <si>
    <t>Výnosy ze změny metody</t>
  </si>
  <si>
    <t>Ostatní mimořádné výnosy</t>
  </si>
  <si>
    <t>Převod provozních výnosů</t>
  </si>
  <si>
    <t>Převod finančních výnosů</t>
  </si>
  <si>
    <t>Počáteční účet rozvažný</t>
  </si>
  <si>
    <t>Konečný účet rozvažný</t>
  </si>
  <si>
    <t>Účet zisků a ztrát</t>
  </si>
  <si>
    <t>ucet_synt</t>
  </si>
  <si>
    <t>ucet_synt_nazev</t>
  </si>
  <si>
    <t>Materiál</t>
  </si>
  <si>
    <t>Zboží</t>
  </si>
  <si>
    <t>zustatek</t>
  </si>
  <si>
    <t>ucet_an_nazev</t>
  </si>
  <si>
    <t>datum</t>
  </si>
  <si>
    <t>Poskytnuté zálohy na zásoby</t>
  </si>
  <si>
    <t>Účty v bankách</t>
  </si>
  <si>
    <t>Krátkodobé finanční výpomoci</t>
  </si>
  <si>
    <t>výkaz</t>
  </si>
  <si>
    <t>a1</t>
  </si>
  <si>
    <t>a2</t>
  </si>
  <si>
    <t>a3</t>
  </si>
  <si>
    <t>b</t>
  </si>
  <si>
    <t>c</t>
  </si>
  <si>
    <t>A.</t>
  </si>
  <si>
    <t>B.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</si>
  <si>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</si>
  <si>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</si>
  <si>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</si>
  <si>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</si>
  <si>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</si>
  <si>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</si>
  <si>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</si>
  <si>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</si>
  <si>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</si>
  <si>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Nedokončený dlouhodobý nehmotný majetek</t>
  </si>
  <si>
    <t>II.</t>
  </si>
  <si>
    <t>9.</t>
  </si>
  <si>
    <t>Nedokončený dlouhodobý hmotný majetek</t>
  </si>
  <si>
    <t>typ sloupce</t>
  </si>
  <si>
    <t>Brutto</t>
  </si>
  <si>
    <t>III.</t>
  </si>
  <si>
    <t>Korekce</t>
  </si>
  <si>
    <t>řád</t>
  </si>
  <si>
    <t>a</t>
  </si>
  <si>
    <t>Netto</t>
  </si>
  <si>
    <t>AKTIVA CELKEM (ř. 02 + 03 + 31 + 63)</t>
  </si>
  <si>
    <t>Dlouhodobý majetek (ř. 04 + 13 + 23)</t>
  </si>
  <si>
    <t>Dlouhodobý nehmotný majetek (ř. 05 až 12)</t>
  </si>
  <si>
    <t xml:space="preserve">Nehmotné výsledky výzkumu a vývoje </t>
  </si>
  <si>
    <t>Dlouhodobý hmotný majetek  (ř. 14 až 22)</t>
  </si>
  <si>
    <t>Dlouhodobý finanční majetek  (ř. 24 až 30)</t>
  </si>
  <si>
    <t>Podíly - ovládaná osoba</t>
  </si>
  <si>
    <t>Ostatní dlouhodobé cenné papíry a podíly</t>
  </si>
  <si>
    <t>Půjčky a úvěry - ovládaná nebo ovládající osoba, podstatný vliv</t>
  </si>
  <si>
    <t>Pořizovaný dlouhodobý finanční majetek</t>
  </si>
  <si>
    <t>-</t>
  </si>
  <si>
    <t>*</t>
  </si>
  <si>
    <t>zaokr</t>
  </si>
  <si>
    <t>C.</t>
  </si>
  <si>
    <t>Oběžná aktiva  (ř. 32 + 39 + 48 + 58)</t>
  </si>
  <si>
    <t>Zásoby   (ř. 33 až 38)</t>
  </si>
  <si>
    <t>Nedokončená výroba a polotovary</t>
  </si>
  <si>
    <t>Dlouhodobé pohledávky  (ř. 40 až 47)</t>
  </si>
  <si>
    <t>Pohledávky - ovládaná nebo ovládající osoba</t>
  </si>
  <si>
    <t>Pohledávky za společníky, členy družstva  a za účastníky sdružení</t>
  </si>
  <si>
    <t>Dlouhodobé poskytnuté zálohy</t>
  </si>
  <si>
    <t>Odložená daňová pohledávka</t>
  </si>
  <si>
    <t>Krátkodobé pohledávky  (ř. 49 až 57)</t>
  </si>
  <si>
    <t>Sociální zabezpečení a zdravotní pojištění</t>
  </si>
  <si>
    <t>Stát - daňové pohledávky</t>
  </si>
  <si>
    <t>Krátkodobé poskytnuté zálohy</t>
  </si>
  <si>
    <t>IV.</t>
  </si>
  <si>
    <t>Krátkodobý finanční majetek  (ř. 59 až 62)</t>
  </si>
  <si>
    <t>Pořizovaný krátkodobý finanční majetek</t>
  </si>
  <si>
    <t>D.</t>
  </si>
  <si>
    <t>Časové rozlišení  (ř. 64 až 66)</t>
  </si>
  <si>
    <t xml:space="preserve">Náklady příštích období </t>
  </si>
  <si>
    <t>žádný</t>
  </si>
  <si>
    <t>a řád</t>
  </si>
  <si>
    <t>a název</t>
  </si>
  <si>
    <t>p název</t>
  </si>
  <si>
    <t>Krátkodobé cenné papíry a podíly</t>
  </si>
  <si>
    <t>A</t>
  </si>
  <si>
    <t>PASIVA CELKEM   (ř. 68 + 88 + 121)</t>
  </si>
  <si>
    <t>Vlastní kapitál   (ř. 69 + 73 + 80 + 83 + 87 )</t>
  </si>
  <si>
    <t>Základní kapitál (ř. 70 až  72 )</t>
  </si>
  <si>
    <t>Vlastní akcie a vlastní obchodní podíly (-)</t>
  </si>
  <si>
    <t>Kapitálové fondy   (ř. 74 až 79)</t>
  </si>
  <si>
    <t>Emisní ážio</t>
  </si>
  <si>
    <t>Rozdíly z ocenění při přeměnách společností</t>
  </si>
  <si>
    <t>Rezervní fondy, nedělitelný fond  a ostatní fondy ze zisku  (ř. 81 + 82 )</t>
  </si>
  <si>
    <t>Zákonný rezervní fond / Nedělitelný fond</t>
  </si>
  <si>
    <t>Statutární a ostatní fondy</t>
  </si>
  <si>
    <t xml:space="preserve">Nerozdělený zisk minulých let </t>
  </si>
  <si>
    <t>V.</t>
  </si>
  <si>
    <t>Cizí zdroje      (ř. 89 + 94 + 105 + 117)</t>
  </si>
  <si>
    <t>Rezervy   (ř. 90 až 93)</t>
  </si>
  <si>
    <t>Dlouhodobé závazky  (ř. 95 až 104)</t>
  </si>
  <si>
    <t>Závazky - ovládaná nebo ovládající osoba</t>
  </si>
  <si>
    <t>Závazky ke společníkům, členům družstva  a k účastníkům sdružení</t>
  </si>
  <si>
    <t>Vydané dluhopisy</t>
  </si>
  <si>
    <t>Dohadné účty pasívní</t>
  </si>
  <si>
    <t>Odložený daňový závazek</t>
  </si>
  <si>
    <t>IČ:</t>
  </si>
  <si>
    <t>ZÁKLADNÍ ÚDAJE:</t>
  </si>
  <si>
    <t>Sídlo, bydliště nebo místo podnikání:</t>
  </si>
  <si>
    <t>cz název</t>
  </si>
  <si>
    <t>en název</t>
  </si>
  <si>
    <t>de název</t>
  </si>
  <si>
    <t>P</t>
  </si>
  <si>
    <t>Krátkodobé závazky  (ř. 106 až 116)</t>
  </si>
  <si>
    <t>Závazky k zaměstnancům</t>
  </si>
  <si>
    <t>Závazky ze sociálního zabezpečení a zdravotního pojištění</t>
  </si>
  <si>
    <t>Stát - daňové závazky a dotace</t>
  </si>
  <si>
    <t>Kratkodobé přijaté zálohy</t>
  </si>
  <si>
    <t xml:space="preserve">Dohadné účty pasivní </t>
  </si>
  <si>
    <t>Bankovní úvěry a výpomoci  (ř. 118 až 120)</t>
  </si>
  <si>
    <t>Bankovní úvěry dlouhodobé</t>
  </si>
  <si>
    <t xml:space="preserve">Krátkodobé bankovní úvěry </t>
  </si>
  <si>
    <t>Časové rozlišení  (ř. 122 + 123)</t>
  </si>
  <si>
    <t xml:space="preserve">Výnosy příštích období </t>
  </si>
  <si>
    <t>10.</t>
  </si>
  <si>
    <t>11.</t>
  </si>
  <si>
    <t>alt řád</t>
  </si>
  <si>
    <t>alt 1</t>
  </si>
  <si>
    <t>alt 2</t>
  </si>
  <si>
    <t>alt 3</t>
  </si>
  <si>
    <t>řádek výkazu</t>
  </si>
  <si>
    <t>Oceňovací rozdíly z přecenění při přeměnách</t>
  </si>
  <si>
    <t>část</t>
  </si>
  <si>
    <t>N</t>
  </si>
  <si>
    <t xml:space="preserve">Tržby za prodej zboží </t>
  </si>
  <si>
    <t>Náklady vynaložené na prodané zboží</t>
  </si>
  <si>
    <t>Obchodní marže  (ř. 01 - 02)</t>
  </si>
  <si>
    <t>Výkony  (ř. 05 + 06 + 07)</t>
  </si>
  <si>
    <t>Tržby za prodej vlastních výrobků a služeb</t>
  </si>
  <si>
    <t>Změna stavu zásob vlastní činnosti</t>
  </si>
  <si>
    <t>Výkonová spotřeba   (ř. 09 + 10)</t>
  </si>
  <si>
    <t>Spotřeba materiálu a energie</t>
  </si>
  <si>
    <t>Přidaná hodnota  (ř. 03 + 04 - 08)</t>
  </si>
  <si>
    <t>Náklady na sociální zabezpečení a zdravotní pojištění</t>
  </si>
  <si>
    <t>Sociální náklady</t>
  </si>
  <si>
    <t>Odpisy  dlouhodobého nehmotného a hmotného majetku</t>
  </si>
  <si>
    <t>Tržby z prodeje dlouhodobého majetku a materiálu (ř. 20 + 21)</t>
  </si>
  <si>
    <t xml:space="preserve">Tržby z prodeje dlouhodobého majetku </t>
  </si>
  <si>
    <t>Zůstatková cena prodaného dlouhodobého majetku a materiálu (ř. 23 + 24)</t>
  </si>
  <si>
    <t>Zůstatková cena prodaného dlouhodobého majetku</t>
  </si>
  <si>
    <t>Změna stavu rezerv a opravných položek v provozní oblasti a komplexních nákladů příštích období</t>
  </si>
  <si>
    <t>+</t>
  </si>
  <si>
    <t>E.</t>
  </si>
  <si>
    <t>F.</t>
  </si>
  <si>
    <t>G.</t>
  </si>
  <si>
    <t>H.</t>
  </si>
  <si>
    <t>ucet</t>
  </si>
  <si>
    <t>uc_synt</t>
  </si>
  <si>
    <t>A/P a</t>
  </si>
  <si>
    <t>A/P s</t>
  </si>
  <si>
    <t xml:space="preserve">N </t>
  </si>
  <si>
    <t xml:space="preserve">V </t>
  </si>
  <si>
    <t>Z</t>
  </si>
  <si>
    <t>Výnosy z dlouhodobého finančního majetku (ř. 34 + 35 + 36)</t>
  </si>
  <si>
    <t>Výnosy z podílů v ovládaných osobách a v účetních jednotkách pod podstatným vlivem</t>
  </si>
  <si>
    <t>Výnosy z ostatních dlouhodobých cenných papírů a podílů</t>
  </si>
  <si>
    <t>Výnosy z ostatního dlouhodobého finančního majetku</t>
  </si>
  <si>
    <t>Výnosy z přecenění cenných papírů a derivátů</t>
  </si>
  <si>
    <t>Náklady z přecenění cenných papírů a derivátů</t>
  </si>
  <si>
    <t>Změna stavu rezerv a opravných položek ve finanční oblasti</t>
  </si>
  <si>
    <t>Výnosové úroky</t>
  </si>
  <si>
    <t>Nákladové úroky</t>
  </si>
  <si>
    <t>Daň z příjmů za běžnou činnost   (ř. 50 + 51)</t>
  </si>
  <si>
    <t>Výsledek hospodaření za běžnou činnost  (ř. 30 + 48 - 49)</t>
  </si>
  <si>
    <t>Daň z příjmů z mimořádné činnosti  (ř. 56 + 57)</t>
  </si>
  <si>
    <t>Mimořádný výsledek hospodaření (ř. 53 - 54 -55 )</t>
  </si>
  <si>
    <t>Převod podílu na výsledku hospodaření společníkům (+/-)</t>
  </si>
  <si>
    <t>Výsledek hospodaření za účetní období (+/-)  (ř. 52 + 58 - 59)</t>
  </si>
  <si>
    <t>Výsledek hospodaření  před zdaněním (+/-)  (ř. 30 + 48 + 53 - 54)</t>
  </si>
  <si>
    <t>VI.</t>
  </si>
  <si>
    <t>J.</t>
  </si>
  <si>
    <t>VII.</t>
  </si>
  <si>
    <t>VIII.</t>
  </si>
  <si>
    <t>K.</t>
  </si>
  <si>
    <t>IX.</t>
  </si>
  <si>
    <t>L.</t>
  </si>
  <si>
    <t>M.</t>
  </si>
  <si>
    <t>X.</t>
  </si>
  <si>
    <t>N.</t>
  </si>
  <si>
    <t>XI.</t>
  </si>
  <si>
    <t>O.</t>
  </si>
  <si>
    <t>XII.</t>
  </si>
  <si>
    <t>P.</t>
  </si>
  <si>
    <t>R.</t>
  </si>
  <si>
    <t>Q.</t>
  </si>
  <si>
    <t>S.</t>
  </si>
  <si>
    <t>T.</t>
  </si>
  <si>
    <t>XIII.</t>
  </si>
  <si>
    <t>V1</t>
  </si>
  <si>
    <t>**</t>
  </si>
  <si>
    <t>***</t>
  </si>
  <si>
    <t>****</t>
  </si>
  <si>
    <t>zokrouhleno</t>
  </si>
  <si>
    <t>aktiva</t>
  </si>
  <si>
    <t>pasiva</t>
  </si>
  <si>
    <t>hv ve vzz</t>
  </si>
  <si>
    <t>hv v pasivech</t>
  </si>
  <si>
    <t>Název účetní jednotky:</t>
  </si>
  <si>
    <t>Účetní období pro výkazy:</t>
  </si>
  <si>
    <t>Běžné</t>
  </si>
  <si>
    <t>Minulé</t>
  </si>
  <si>
    <t>rozdíl aktiva - pasiva</t>
  </si>
  <si>
    <t>rozdíl hv výsledovka - pasiva</t>
  </si>
  <si>
    <t>datum, ke kterému se výkazy sestavují:</t>
  </si>
  <si>
    <t>Výsledek hospodaření minulých let  (ř. 84 + 85 + 86)</t>
  </si>
  <si>
    <t>Výsledek hospodaření běžného účetního období (+/-)</t>
  </si>
  <si>
    <t>část a2</t>
  </si>
  <si>
    <t>řád + řádek</t>
  </si>
  <si>
    <t>běž</t>
  </si>
  <si>
    <t>min</t>
  </si>
  <si>
    <t>Rozvaha</t>
  </si>
  <si>
    <t>Ausstehende Einlagen auf das gezeichnete Kapital</t>
  </si>
  <si>
    <t>Gründungskosten</t>
  </si>
  <si>
    <t>Immaterielle Ergebnisse der Forschung und Entwicklung</t>
  </si>
  <si>
    <t>Bewertbare Rechte</t>
  </si>
  <si>
    <t>Firmen- oder Geschäftswert</t>
  </si>
  <si>
    <t>Sonstige immaterielle Vermögensgegenstände</t>
  </si>
  <si>
    <t>Unfertige immaterielle Vermögensgegenstände</t>
  </si>
  <si>
    <t>Geleistete Anzahlungen auf immaterielle Vermögensgegenstände</t>
  </si>
  <si>
    <t>Grundstücke</t>
  </si>
  <si>
    <t>Bauten</t>
  </si>
  <si>
    <t>Bewegliches Sachanlagevermögen</t>
  </si>
  <si>
    <t>Kulturland</t>
  </si>
  <si>
    <t>Erwachsene Tiere und ihre Gruppen</t>
  </si>
  <si>
    <t>Sonstige Sachanlagen</t>
  </si>
  <si>
    <t>Sachanlagen im Bau</t>
  </si>
  <si>
    <t>Geleistete Anzahlungen auf Sachanlagen</t>
  </si>
  <si>
    <t>Bewertungsunterschied zum erworbenen Vermögen</t>
  </si>
  <si>
    <t>Anteile und Beteiligungen an verbundenen Unternehmen</t>
  </si>
  <si>
    <t>Anteile und Beteiligungen an Unternehmen, mit denen ein Beteiligungsverhältnis besteht</t>
  </si>
  <si>
    <t>Sonstige langfristige Wertpapiere und Beteiligungen</t>
  </si>
  <si>
    <t xml:space="preserve">Sonstige Finanzanlagen  </t>
  </si>
  <si>
    <t>Aufwendungen im Zusammenhang mit dem Erwerb von langfristigem Finanzvermögen</t>
  </si>
  <si>
    <t>Geleistete Anzahlungen auf Finanzanlagen</t>
  </si>
  <si>
    <t>Material</t>
  </si>
  <si>
    <t>Unfertige Erzeugnisse und Halbfabrikate</t>
  </si>
  <si>
    <t>Fertige Erzeugnisse</t>
  </si>
  <si>
    <t>Junge und sonstige Tiere und ihre Gruppen</t>
  </si>
  <si>
    <t>Waren</t>
  </si>
  <si>
    <t>Geleistete Anzahlungen auf Vorräte</t>
  </si>
  <si>
    <t>Forderungen aus Lieferungen und Leistungen</t>
  </si>
  <si>
    <t>Forderungen gegen verbundene Unternehmen</t>
  </si>
  <si>
    <t>Forderungen gegen Unternehmen, mit denen ein Beteiligungsverhältnis besteht</t>
  </si>
  <si>
    <t>Forderungen gegen Gesellschafter, Mitglieder einer Genossenschaft und Mitglieder einer Vereinigung</t>
  </si>
  <si>
    <t>Langfristige geleistete Anzahlungen</t>
  </si>
  <si>
    <t>Geschätzte Aktivposten</t>
  </si>
  <si>
    <t>Sonstige Forderungen</t>
  </si>
  <si>
    <t>Latente Steuerforderung</t>
  </si>
  <si>
    <t>Sozial- und Krankenversicherung</t>
  </si>
  <si>
    <t>Steuerforderungen</t>
  </si>
  <si>
    <t>Kurzfristige geleistete Anzahlungen</t>
  </si>
  <si>
    <t>Kasse</t>
  </si>
  <si>
    <t>Bank</t>
  </si>
  <si>
    <t>Kurzfristige Wertpapiere und Beteiligungen</t>
  </si>
  <si>
    <t>Aufwendungen im Zusammenhang mit dem Erwerb von kurzfristigem Finanzvermögen</t>
  </si>
  <si>
    <t>Aufwendungen künftiger Perioden</t>
  </si>
  <si>
    <t>Komplexe Aufwendungen künftiger Perioden</t>
  </si>
  <si>
    <t>Einnahmen künftiger Perioden</t>
  </si>
  <si>
    <t>Gezeichnetes Kapital</t>
  </si>
  <si>
    <t>Eigene Aktien und eigene Geschäftsanteile</t>
  </si>
  <si>
    <t>Änderung des gezeichneten Kapitals</t>
  </si>
  <si>
    <t>Aufgeld (Agio)</t>
  </si>
  <si>
    <t>Sonstige Kapitalrücklagen</t>
  </si>
  <si>
    <t>Neubewertungsrücklage (Vermögen und Verbindlichkeiten)</t>
  </si>
  <si>
    <t>Neubewertung bei formwechselnder Umwandlung</t>
  </si>
  <si>
    <t>Bewertungsunterschied aus Umwandlungen</t>
  </si>
  <si>
    <t>Veränderung der Neubewertungsrücklage bei Umwandlungen</t>
  </si>
  <si>
    <t>Rücklagen und Fonds, nicht verteilbare Rücklage und andere Gewinnrücklagen  (Z.81+82)</t>
  </si>
  <si>
    <t>Gesetzliche Rücklage/nicht verteilbare Rücklage</t>
  </si>
  <si>
    <t>Satzungsmäßige und sonstige Rücklagen</t>
  </si>
  <si>
    <t>Gewinn-/Verlustvortrag    (Z.84+85+86)</t>
  </si>
  <si>
    <t>Gewinnvortrag</t>
  </si>
  <si>
    <t>Verlustvortrag</t>
  </si>
  <si>
    <t>Sonstiger Gewinn- /Verlustvortrag</t>
  </si>
  <si>
    <t>Jahresüberschuss / -fehlbetrag</t>
  </si>
  <si>
    <t>Gemäß Sondervorschriften gebildete Rückstellungen</t>
  </si>
  <si>
    <t>Rückstellungen für Renten und ähnliche Verbindlichkeiten</t>
  </si>
  <si>
    <t>Rückstellung für die Einkommensteuer</t>
  </si>
  <si>
    <t>Sonstige Rückstellungen</t>
  </si>
  <si>
    <t>Verbindlichkeiten aus Lieferungen und Leistungen</t>
  </si>
  <si>
    <t>Verbindlichkeiten gegenüber verbundenen Unternehmen</t>
  </si>
  <si>
    <t>Verbindlichkeiten gegenüber Unternehmen, mit denen ein Beteiligungsverhältnis besteht</t>
  </si>
  <si>
    <t>Verbindlichkeiten gegenüber Gesellschaftern, Mitgliedern einer Genossenschaft und Mitgliedern einer Vereinigung</t>
  </si>
  <si>
    <t>Langfristige erhaltene Anzahlungen</t>
  </si>
  <si>
    <t>Ausgegebene Schuldverschreibungen</t>
  </si>
  <si>
    <t>Langfristige Wechselverbindlichkeiten</t>
  </si>
  <si>
    <t>Geschätzte Passivposten</t>
  </si>
  <si>
    <t>Sonstige Verbindlichkeiten</t>
  </si>
  <si>
    <t>Latente Steuerverbindlichkeit</t>
  </si>
  <si>
    <t>Verbindlichkeiten gegenüber Mitarbeitern</t>
  </si>
  <si>
    <t>Verbindlichkeiten aus der Sozial- und Krankenversicherung</t>
  </si>
  <si>
    <t>Steuerverbindlichkeiten und staatliche Zuschüsse</t>
  </si>
  <si>
    <t>Kurzfristige erhaltene Anzahlungen</t>
  </si>
  <si>
    <t>Langfristige Bankkredite</t>
  </si>
  <si>
    <t>Kurzfristige Bankkredite</t>
  </si>
  <si>
    <t>Sonstige kurzfristige Finanzierungen</t>
  </si>
  <si>
    <t>Ausgaben künftiger Perioden</t>
  </si>
  <si>
    <t>Erträge künftiger Perioden</t>
  </si>
  <si>
    <t>Anlagevermögen  (Z. 04 + 13 + 23)</t>
  </si>
  <si>
    <t>SUMME AKTIVA (Z. 02 + 03 + 31 + 63)</t>
  </si>
  <si>
    <t>Immaterielle Vermögensgegenstände (Z. 05 bis 12)</t>
  </si>
  <si>
    <t>Sachanlagen  (Z. 14 bis 22)</t>
  </si>
  <si>
    <t xml:space="preserve">Finanzanlagen  (Z. 24 bis 30)     </t>
  </si>
  <si>
    <t>Umlaufvermögen (Z. 32 + 39 + 48 + 58)</t>
  </si>
  <si>
    <t>Vorräte (Z. 33 bis 38)</t>
  </si>
  <si>
    <t>Langfristige Forderungen (Z. 40 bis 47)</t>
  </si>
  <si>
    <t>Kurzfristige Forderungen (Z. 49 bis 57)</t>
  </si>
  <si>
    <t>Kurzfristiges Finanzvermögen (Z. 59 bis 62)</t>
  </si>
  <si>
    <t>Rechnungsabgrenzungsposten  (Z. 64 + 65 + 66)</t>
  </si>
  <si>
    <t>SUMME PASSIVA        (Z. 68 + 88 + 121)</t>
  </si>
  <si>
    <t>Eigenkapital        (Z. 69 + 73 + 80 + 83 + 87)</t>
  </si>
  <si>
    <t>Gezeichnetes Kapital           (Z. 70 + 71 + 72)</t>
  </si>
  <si>
    <t>Kapitalrücklagen            (Z. 74 bis 79)</t>
  </si>
  <si>
    <t>Fremdkapital         (Z. 89 + 94 + 105 + 117)</t>
  </si>
  <si>
    <t>Rückstellungen             (Z. 90 bis 93)</t>
  </si>
  <si>
    <t>Langfristige Verbindlichkeiten            (Z. 95 bis 104)</t>
  </si>
  <si>
    <t>Kurzfristige Verbindlichkeiten  (Z. 106 bis 116)</t>
  </si>
  <si>
    <t xml:space="preserve">Verbindlichkeiten gegenüber Kreditinstituten  (Z. 118 + 119 + 120) </t>
  </si>
  <si>
    <t>Rechnungsabgrenzungsposten (Z. 122 + 123)</t>
  </si>
  <si>
    <t>Receivables for subscribed registered capital</t>
  </si>
  <si>
    <t>Incorporation expenses</t>
  </si>
  <si>
    <t>Research and development</t>
  </si>
  <si>
    <t>Intellectual property rights</t>
  </si>
  <si>
    <t>Other intangible fixed assets</t>
  </si>
  <si>
    <t>Intangible fixed assets under construction</t>
  </si>
  <si>
    <t>Advance payments for intangible fixed assets</t>
  </si>
  <si>
    <t>Land</t>
  </si>
  <si>
    <t>Buildings</t>
  </si>
  <si>
    <t>Plant and equipment</t>
  </si>
  <si>
    <t>Cultivated areas</t>
  </si>
  <si>
    <t>Adult livestock</t>
  </si>
  <si>
    <t>Other tangible fixed assets</t>
  </si>
  <si>
    <t>Tangible fixed assets under construction</t>
  </si>
  <si>
    <t>Advance payments for tangible fixed assets</t>
  </si>
  <si>
    <t>Adjustments to acquired fixed assets</t>
  </si>
  <si>
    <t>Investments in group undertakings</t>
  </si>
  <si>
    <t xml:space="preserve">Investments in associated companies </t>
  </si>
  <si>
    <t>Other long-term securities and ownership interests</t>
  </si>
  <si>
    <t>Loans - group undertakings, associated companies</t>
  </si>
  <si>
    <t>Other long-term investments</t>
  </si>
  <si>
    <t>Long-term investments (provisional value)</t>
  </si>
  <si>
    <t>Advance payments for long-term investments</t>
  </si>
  <si>
    <t>Raw materials</t>
  </si>
  <si>
    <t>Work-in-progress and semi-finished products</t>
  </si>
  <si>
    <t>Finished goods</t>
  </si>
  <si>
    <t>Young and other livestock</t>
  </si>
  <si>
    <t>Goods for resale</t>
  </si>
  <si>
    <t>Advance payments for inventories</t>
  </si>
  <si>
    <t>Trade receivables</t>
  </si>
  <si>
    <t>Receivables - group undertakings</t>
  </si>
  <si>
    <t xml:space="preserve">Receivables - associated companies </t>
  </si>
  <si>
    <t>Receivables from shareholders/owners and alliance partners</t>
  </si>
  <si>
    <t>Long-term advances paid</t>
  </si>
  <si>
    <t>Estimated receivables</t>
  </si>
  <si>
    <t>Other receivables</t>
  </si>
  <si>
    <t>Deferred tax asset</t>
  </si>
  <si>
    <t>Social security and health insurance</t>
  </si>
  <si>
    <t>Tax receivables</t>
  </si>
  <si>
    <t>Short-term advances paid</t>
  </si>
  <si>
    <t>Cash</t>
  </si>
  <si>
    <t>Bank accounts</t>
  </si>
  <si>
    <t>Short-term securities and ownership interests</t>
  </si>
  <si>
    <t>Short-term investments (provisional value)</t>
  </si>
  <si>
    <t>Prepaid expenses</t>
  </si>
  <si>
    <t>Complex prepaid expenses</t>
  </si>
  <si>
    <t>Accrued revenues</t>
  </si>
  <si>
    <t>Registered capital</t>
  </si>
  <si>
    <t>Own shares and ownership interests (-)</t>
  </si>
  <si>
    <t>Changes in registered capital</t>
  </si>
  <si>
    <t>Share premium</t>
  </si>
  <si>
    <t>Other capital contributions</t>
  </si>
  <si>
    <t>Revaluation of assets and liabilities</t>
  </si>
  <si>
    <t>Revaluation reserve on transformations</t>
  </si>
  <si>
    <t>Differences resulting from transformations</t>
  </si>
  <si>
    <t>Change in revaluation reserve on transformations</t>
  </si>
  <si>
    <t>Statutory reserve fund / Undistributable fund</t>
  </si>
  <si>
    <t>Statutory and other funds</t>
  </si>
  <si>
    <t>Retained profits</t>
  </si>
  <si>
    <t>Accumulated losses</t>
  </si>
  <si>
    <t>Other retained earnings</t>
  </si>
  <si>
    <t>Tax-deductible provisions</t>
  </si>
  <si>
    <t>Provision for pensions and other similar payables</t>
  </si>
  <si>
    <t>Income tax provision</t>
  </si>
  <si>
    <t>Other provisions</t>
  </si>
  <si>
    <t>Trade payables</t>
  </si>
  <si>
    <t>Liabilities - group undertakings</t>
  </si>
  <si>
    <t>Liabilities - associated companies</t>
  </si>
  <si>
    <t>Liabilities to shareholders/owners and alliance partners</t>
  </si>
  <si>
    <t>Long-term advances received</t>
  </si>
  <si>
    <t>Debentures and bonds issued</t>
  </si>
  <si>
    <t>Long-term bills of exchange payable</t>
  </si>
  <si>
    <t>Estimated payables</t>
  </si>
  <si>
    <t>Other payables</t>
  </si>
  <si>
    <t>Deferred tax liability</t>
  </si>
  <si>
    <t>Payables to employees</t>
  </si>
  <si>
    <t>Payables to social security and health insurance</t>
  </si>
  <si>
    <t>Tax liabilities and subsidies</t>
  </si>
  <si>
    <t>Short-term advances received</t>
  </si>
  <si>
    <t>Long-term bank loans</t>
  </si>
  <si>
    <t xml:space="preserve">Short-term bank loans </t>
  </si>
  <si>
    <t>Short-term financial liabilities</t>
  </si>
  <si>
    <t>Accrued expenses</t>
  </si>
  <si>
    <t>Deferred revenues</t>
  </si>
  <si>
    <t>Intangible fixed assets (l. 05 to 12)</t>
  </si>
  <si>
    <t>Tangible fixed assets   (l. 14 to 22)</t>
  </si>
  <si>
    <t xml:space="preserve">Long-term investments (l. 24 to 30)     </t>
  </si>
  <si>
    <t>Inventories  (l. 33 to 38)</t>
  </si>
  <si>
    <t>Long-term receivables  (l. 40 to 47)</t>
  </si>
  <si>
    <t>Short-term receivables (l. 49 to 57)</t>
  </si>
  <si>
    <t>Short-term financial assets  (l. 59 to 62)</t>
  </si>
  <si>
    <t>Capital contributions    (l. 74 to 79)</t>
  </si>
  <si>
    <t>Long-term liabilities    (l. 95 to 104)</t>
  </si>
  <si>
    <t>Short-term liabilities  (l. 106 to 116)</t>
  </si>
  <si>
    <t>TOTAL ASSETS (l. 02 + 03 + 31 + 63)</t>
  </si>
  <si>
    <t>Fixed assets (l. 04 + 13 + 23)</t>
  </si>
  <si>
    <t>Current assets (l. 32 + 39 + 48 + 58)</t>
  </si>
  <si>
    <t>Deferrals  (l.  64 + 65 + 66)</t>
  </si>
  <si>
    <t>Equity    (l. 69 + 73 + 80 + 83 + 87)</t>
  </si>
  <si>
    <t>Registered capital    (l. 70 + 71 + 72)</t>
  </si>
  <si>
    <t>Reserve funds, undistributable fund and other funds from profit (l. 81 + 82)</t>
  </si>
  <si>
    <t>Retained earnings   (l. 84 + 85 + 86)</t>
  </si>
  <si>
    <t>Profit (loss) for the current period     ( + /-)</t>
  </si>
  <si>
    <t>Liabilities    (l. 89 + 94 + 105 + 117)</t>
  </si>
  <si>
    <t>Bank loans and overdrafts     (l. 118 + 119 + 120)</t>
  </si>
  <si>
    <t>Accruals     (l. 122 + 123)</t>
  </si>
  <si>
    <t>TOTAL EQUITY AND LIABILITIES    (l. 68 + 88 + 121)</t>
  </si>
  <si>
    <t>Revenue from products, goods and services</t>
  </si>
  <si>
    <t>Cost of goods sold</t>
  </si>
  <si>
    <t>Revenue from own products and services</t>
  </si>
  <si>
    <t>Change in inventory of own production</t>
  </si>
  <si>
    <t>Own work capitalized</t>
  </si>
  <si>
    <t>Materials and consumables</t>
  </si>
  <si>
    <t>Services</t>
  </si>
  <si>
    <t>Wages and salaries</t>
  </si>
  <si>
    <t>Remuneration of board members</t>
  </si>
  <si>
    <t>Social security and health insurance expenses</t>
  </si>
  <si>
    <t>Social expenses</t>
  </si>
  <si>
    <t>Taxes and charges</t>
  </si>
  <si>
    <t xml:space="preserve">Depreciation of intangible and tangible fixed assets </t>
  </si>
  <si>
    <t>Proceeds from disposals of fixed assets</t>
  </si>
  <si>
    <t>Proceeds from disposals of raw material</t>
  </si>
  <si>
    <t xml:space="preserve">Net book value of fixed assets sold </t>
  </si>
  <si>
    <t>Raw materials sold</t>
  </si>
  <si>
    <t>Change in provisions and adjustments relating to operating activity and change in complex prepaid expenses</t>
  </si>
  <si>
    <t>Other operating revenues</t>
  </si>
  <si>
    <t>Other operating expenses</t>
  </si>
  <si>
    <t>Transfer of operating revenues</t>
  </si>
  <si>
    <t>Transfer of operating expenses</t>
  </si>
  <si>
    <t>Proceeds from sale of securities and ownership interests</t>
  </si>
  <si>
    <t>Securities and ownership interests sold</t>
  </si>
  <si>
    <t>Revenue from investments in group undertakings and associated companies</t>
  </si>
  <si>
    <t>Revenue from other long-term securities and ownership interests</t>
  </si>
  <si>
    <t>Revenue from other long-term investments</t>
  </si>
  <si>
    <t>Revenue from short-term financial investments</t>
  </si>
  <si>
    <t>Financial assets expenses</t>
  </si>
  <si>
    <t>Revenue from revaluation of securities and derivatives</t>
  </si>
  <si>
    <t>Expenses for revaluation of securities and derivatives</t>
  </si>
  <si>
    <t>Change in provisions and adjustments relating to financial activity</t>
  </si>
  <si>
    <t>Interest revenue</t>
  </si>
  <si>
    <t>Interest expense</t>
  </si>
  <si>
    <t>Other financial revenues</t>
  </si>
  <si>
    <t>Other financial expenses</t>
  </si>
  <si>
    <t>Transfer of financial revenues</t>
  </si>
  <si>
    <t>Transfer of financial expenses</t>
  </si>
  <si>
    <t>Extraordinary revenue</t>
  </si>
  <si>
    <t>Extraordinary expenses</t>
  </si>
  <si>
    <t>Transfer of profit or loss to partners</t>
  </si>
  <si>
    <t>Umsatzerlöse aus Warenverkäufen</t>
  </si>
  <si>
    <t>Aufwendungen für verkaufte Ware</t>
  </si>
  <si>
    <t>Umsatzerlöse aus dem Verkauf eigener Erzeugnisse und Dienstleistungen</t>
  </si>
  <si>
    <t>Bestandsveränderung der selbsterstellten Vorräte</t>
  </si>
  <si>
    <t>Aktivierte Eigenleistungen</t>
  </si>
  <si>
    <t>Material- und Energieverbrauch</t>
  </si>
  <si>
    <t>Bezogene Dienstleistungen</t>
  </si>
  <si>
    <t>Löhne und Gehälter</t>
  </si>
  <si>
    <t>Tantiemen an Organmitglieder</t>
  </si>
  <si>
    <t>Aufwendungen für die Sozial- und Krankenversicherung</t>
  </si>
  <si>
    <t>Sonstige Sozialaufwendungen</t>
  </si>
  <si>
    <t>Steuern und Gebühren</t>
  </si>
  <si>
    <t>Abschreibungen auf immaterielle Vermögensgegenstände des Anlagevermögens und auf Sachanlagen</t>
  </si>
  <si>
    <t xml:space="preserve">Erträge aus dem Verkauf von Gegenständen des Anlagevermögens </t>
  </si>
  <si>
    <t>Erträge aus dem Materialverkauf</t>
  </si>
  <si>
    <t>Restbuchwert der verkauften Gegenstände des Anlagevermögens</t>
  </si>
  <si>
    <t>Verkauftes Material</t>
  </si>
  <si>
    <t>Veränderung der betrieblichen Rückstellungen und Wertberichtigungen und der komplexen Aufwendungen der künftigen Perioden</t>
  </si>
  <si>
    <t>Sonstige betriebliche Erträge</t>
  </si>
  <si>
    <t>Sonstige betriebliche Aufwendungen</t>
  </si>
  <si>
    <t>Übertrag von betrieblichen Erträgen</t>
  </si>
  <si>
    <t>Übertrag von betrieblichen Aufwendungen</t>
  </si>
  <si>
    <t>Erträge aus dem Abgang von Wertpapieren und Anteilen</t>
  </si>
  <si>
    <t>Verkaufte Wertpapiere und Anteile</t>
  </si>
  <si>
    <t>Erträge aus Anteilen und Beteiligungen an verbundenen Unternehmen und an Unternehmen, mit denen ein Beteiligungsverhältnis besteht</t>
  </si>
  <si>
    <t>Erträge aus sonstigen langfristigen Wertpapieren und Anteilen</t>
  </si>
  <si>
    <t>Erträge aus sonstigen Finanzanlagen</t>
  </si>
  <si>
    <t>Erträge aus kurzfristigem Finanzvermögen</t>
  </si>
  <si>
    <t>Aufwendungen aus dem Finanzvermögen</t>
  </si>
  <si>
    <t>Erträge aus der Neubewertung von Wertpapieren und Derivaten</t>
  </si>
  <si>
    <t>Aufwendungen aus der Neubewertung von Wertpapieren und Derivaten</t>
  </si>
  <si>
    <t>Veränderung der Rückstellungen und Wertberichtigungen im Bereich Finanzvermögen</t>
  </si>
  <si>
    <t>Zinserträge</t>
  </si>
  <si>
    <t>Zinsaufwendungen</t>
  </si>
  <si>
    <t>Sonstige Finanzerträge</t>
  </si>
  <si>
    <t>Sonstige Finanzaufwendungen</t>
  </si>
  <si>
    <t>Übertrag von Finanzerträgen</t>
  </si>
  <si>
    <t>Übertrag von Finanzaufwendungen</t>
  </si>
  <si>
    <t>Außerordentliche Erträge</t>
  </si>
  <si>
    <t>Außerordentliche Aufwendungen</t>
  </si>
  <si>
    <t>Ergebnisübernahme durch Gesellschafter</t>
  </si>
  <si>
    <t>Gross profit     (l. 01-02)</t>
  </si>
  <si>
    <t>Personnel expenses   (l. 13 to 16)</t>
  </si>
  <si>
    <t>Revenue from production    (l. 05 + 06 + 07)</t>
  </si>
  <si>
    <t>Cost of sales    (l. 09 + 10)</t>
  </si>
  <si>
    <t>Proceeds from disposals of fixed assets and raw material (l. 20 + 21)</t>
  </si>
  <si>
    <t>Net book value of fixed assets and raw material sold (l. 23 + 24)</t>
  </si>
  <si>
    <t>Revenue from long-term investments  (l. 34 + 35 + 36)</t>
  </si>
  <si>
    <t>Added value  (l. 03 + 04 - 08)</t>
  </si>
  <si>
    <t>Extraordinary profit / loss      (l. 53 - 54 - 55)</t>
  </si>
  <si>
    <t>Income tax on extraordinary profit / loss  (l. 56 + 57)</t>
  </si>
  <si>
    <t>Income tax on ordinary profit / loss   (l. 50 + 51)</t>
  </si>
  <si>
    <t>Handelsspanne    (Z. 01-02)</t>
  </si>
  <si>
    <t>Personalaufwand        (Z. 13 bis 16)</t>
  </si>
  <si>
    <t>Herstellung  (Z. 05 + 06 + 07)</t>
  </si>
  <si>
    <t>Fertigungsaufwand       (Z. 09 + 10)</t>
  </si>
  <si>
    <t>Erträge aus dem Verkauf von Gegenständen des Anlagevermögens und Material (Z. 20 + 21)</t>
  </si>
  <si>
    <t>Restbuchwert der verkauften Gegenstände des Anlagevermögens und des Materials (Z. 23 + 24)</t>
  </si>
  <si>
    <t>Erträge aus Finanzanlagen   (Z. 34 + 35 + 36)</t>
  </si>
  <si>
    <t>Steuer vom Einkommen aus der gewöhnlichen Geschäftstätigkeit        (Z. 50 + 51)</t>
  </si>
  <si>
    <t>Steuer vom Einkommen aus der außerordentlichen Geschäftstätigkeit  (Z. 56 + 57)</t>
  </si>
  <si>
    <t>Mehrwert (Wertschöpfung)   (Z. 03 + 04 - 08)</t>
  </si>
  <si>
    <t>Ergebnis der außerordentlichen Geschäftstätigkeit (Z. 53 - 54 - 55)</t>
  </si>
  <si>
    <t xml:space="preserve">     - splatná</t>
  </si>
  <si>
    <t xml:space="preserve">     - odložená</t>
  </si>
  <si>
    <t xml:space="preserve">     - current</t>
  </si>
  <si>
    <t xml:space="preserve">     - deferred</t>
  </si>
  <si>
    <t xml:space="preserve">     Fällige Steuern</t>
  </si>
  <si>
    <t xml:space="preserve">     Latente Steuern</t>
  </si>
  <si>
    <t>v celých Kč</t>
  </si>
  <si>
    <t>v celých tisících Kč</t>
  </si>
  <si>
    <t>v celých milionech Kč</t>
  </si>
  <si>
    <t>in thousands of Czech crowns</t>
  </si>
  <si>
    <t>in millions of Czech crowns</t>
  </si>
  <si>
    <t>in Czech crowns</t>
  </si>
  <si>
    <t>Werte in TCZK</t>
  </si>
  <si>
    <t>Werte in MCZK</t>
  </si>
  <si>
    <t>Werte in CZK</t>
  </si>
  <si>
    <t>Výsledovka</t>
  </si>
  <si>
    <t>Náklady</t>
  </si>
  <si>
    <t>část Výnosy</t>
  </si>
  <si>
    <t>Výnosy</t>
  </si>
  <si>
    <t>Aktiva</t>
  </si>
  <si>
    <t>Pasiva</t>
  </si>
  <si>
    <t>Ausleihungen und Darlehen an verbundene Unternehmen und Beteiligungen</t>
  </si>
  <si>
    <t>Provisions    (l. 90 to 93)</t>
  </si>
  <si>
    <t>řádek v jazyku výkazu výkazu</t>
  </si>
  <si>
    <t>id_1</t>
  </si>
  <si>
    <t>id_2</t>
  </si>
  <si>
    <t>id_skupina</t>
  </si>
  <si>
    <t>id_3</t>
  </si>
  <si>
    <t>pocatecni zust</t>
  </si>
  <si>
    <t>obrat MD</t>
  </si>
  <si>
    <t>obrat D</t>
  </si>
  <si>
    <t>ř_auto</t>
  </si>
  <si>
    <t>ř_A/P a</t>
  </si>
  <si>
    <t>ř_A/P s</t>
  </si>
  <si>
    <t>ř_ručně</t>
  </si>
  <si>
    <t>ř_final</t>
  </si>
  <si>
    <t>ř_číslo_popis</t>
  </si>
  <si>
    <t>date</t>
  </si>
  <si>
    <t>uc_synt_popis</t>
  </si>
  <si>
    <t>ucet_an_cislo_popis</t>
  </si>
  <si>
    <t>zdroj</t>
  </si>
  <si>
    <t>JAK VLOŽIT DATA A VYTVOŘIT VÝKAZY</t>
  </si>
  <si>
    <t>Tento soubor umožňuje sestavit základní finanční výkazy, tedy Rozvahu a Výkaz zisku a ztráty, podle českých účetních standardů. Postup se skládá z následujících kroků:</t>
  </si>
  <si>
    <t>1. Vyplnění základní identifikačních údajů účetní jednotky.</t>
  </si>
  <si>
    <t>2. Vložení obratové předvahy za vybraná období.</t>
  </si>
  <si>
    <t>3. Doplnění nestandardních úprav a tzv. reklasifikací.</t>
  </si>
  <si>
    <t>4. Ruční přiřazení vybraných účtů do řádků účetních výkazů.</t>
  </si>
  <si>
    <t>5. Kontrola a úprava zaokrouhlení.</t>
  </si>
  <si>
    <t>Následuje detailní postup k jednotlivým krokům.</t>
  </si>
  <si>
    <t>list "INDEX"</t>
  </si>
  <si>
    <t>a) v listu "INDEX" je potřeba nejprve zadat základní identifikační údaje účetní jednotky, jako název, adresu a IČ.</t>
  </si>
  <si>
    <t>c) dále se vyplňuje počet pozic v číslech účtů, které budou nataženy ve formě obratové předvahy</t>
  </si>
  <si>
    <t>např. pokud jsou účty ve tvaru 321100, mají 6 pozic, zadá se tedy 6; pokud mají účty tvar 3211, mají 4 pozice, zadá se tedy 4, atd.</t>
  </si>
  <si>
    <t>d) vyberte jednotku výkazu</t>
  </si>
  <si>
    <t>Jednotka výkazu:</t>
  </si>
  <si>
    <t>Jazyk výkazu:</t>
  </si>
  <si>
    <t>list "DATA"</t>
  </si>
  <si>
    <t>POZOR: po nakopírování musí záhlaví sloupců v řádku 1 přesně odpovídat jejich obsahu!</t>
  </si>
  <si>
    <t>Pokud tomu tak není, vraťte nakopírování zpět, upravte pořadí sloupců a nakopírujte znovu</t>
  </si>
  <si>
    <t>c) pokud provedete správně vložení (nakopírování) obratové předvahy do sloupců C až I, dojde k automatickému vyplnění vzorců ve sloupcích K až Y</t>
  </si>
  <si>
    <t>Jakoukoliv dodatečnou úpravu či reklasifikaci proveďte následujícím způsobem:</t>
  </si>
  <si>
    <t>a) úpravu či reklasifikaci vložte jako nové řádky do listu "DATA" (sloupce C až I, popř. zadejte ručně řádek výkazu do sloupce R)</t>
  </si>
  <si>
    <t>b) po vložení by mělo dojít k automatickému rozkopírování vzorců z předchozích řádků</t>
  </si>
  <si>
    <t>c) pro odlišení těchto ručních úprav od importovaných řádků doporučujeme do sloupce B zadat např. "reclass", "adjust" atd.</t>
  </si>
  <si>
    <t>d) do sloupce E pak doporučujeme pro snadnější orientaci zadata místo názvu účtu podrobnější popis nebo poznámku</t>
  </si>
  <si>
    <t>POZOR: nezapomeňte, že většina těchto ručních úprav má podvojný charakter, je tedy potřeba zadat je ve dvou řádcích - jednou s kladnou a jednou se zápornou hodnotou</t>
  </si>
  <si>
    <t>Posledním krokem ke správnému sestavení výkazů je ruční přiřazení některých účtů do řádků účetních výkazů. Toto ruční přiřazení může být relevantní v následujících situacích:</t>
  </si>
  <si>
    <t>a) přiřazení některých účtů do řádků výkazů jednoznačně nevyplývá ani z legislativních předpisů (např. účty 391x OP k pohledávkám může mít krátkodobý nebo dlouhodobý charakter)</t>
  </si>
  <si>
    <t>Poznámka: Jsme si vědomi, že sebelépe napsaný návod někdy nestačí a případné problémy je potřeba prodiskutovat osobně nebo alespoň telefonicky. Pokud se náhodou během práce se souborem vyskytnete ve slepé uličce, nebojte se zavolat či napsat e-mail. Určitě se pokusíme problém společně vyřešit.</t>
  </si>
  <si>
    <t>V některých případech musíme provést dodatečné úpravy nad rámec aktuální obratové předvahy, popř. provést tzv. reklasifikace, tedy převést určité částky z aktuálního účtu na nějaký jiný.</t>
  </si>
  <si>
    <t>I na tyto případy je pamatováno.</t>
  </si>
  <si>
    <t>b) takto připravenou tabulku nakopírujte od druhého řádku sloupců C až I (tzn. záhlaví ponechte původní)</t>
  </si>
  <si>
    <t xml:space="preserve"> - ruční zadání čísel řádků je potřeba zadat pro každé účetní období zvlášť pro případ, že by se povaha účtu v čase měnila</t>
  </si>
  <si>
    <t>řešení:</t>
  </si>
  <si>
    <t xml:space="preserve"> - tyto účty nejsou nijak označeny, soubor totiž nepozná, že obsah účtu je jiný, než předpokládají předpisy</t>
  </si>
  <si>
    <t xml:space="preserve"> - ruční zadání má přednost před automatickým vyplněním a účet tedy bude v rámci výkazů zahrnut do ručně vyplněného řádku</t>
  </si>
  <si>
    <t xml:space="preserve"> - nicméně pokud takové účty máte, stačí v listu "DATA" do sloupce R ručně napsat čísla řádků výkazů, která jsou pro daný účet relevantní</t>
  </si>
  <si>
    <t>Pokud jste správně provedli předchozí kroky, měli byste mít nyní k dispozici na listech "AKTIVA", "PASIVA" a "VÝKAZ ZZ" první verzi výkazů.</t>
  </si>
  <si>
    <t>Zbývá tedy provést už jen závěrečnou kontrolu a případně doladit zaokrouhlení.</t>
  </si>
  <si>
    <t>Nejprve si ověřte pohledem do listu INDEX - sekce Kontroly, zda jsou základní kontrolní vazby (A=P, HV ve výsledovce = HV v rozvaze) správně či nikoliv.</t>
  </si>
  <si>
    <t>Pokud jsou rozdílové řádky nulové a zelené, vše je v pořádku a Vy máte hotovo. Pokud ne, je potřeba zaokrouhlení ručně upravit, a to následujícím způsobem:</t>
  </si>
  <si>
    <t>a) v každém z listů AKTIVA, PASIVA a VÝKAZ ZZ jsou v pravém horním rohu umístěny buňky, indikující o kolik zaokrouhlení nesedí ("běž" znamená běžné, "min" minulé účetní období")</t>
  </si>
  <si>
    <t xml:space="preserve">Čím vyšší jednotku zaokrouhlení jste zvolili, tím větší je pravděpodobnost, že se výkazy vlivem zaokrouhlení někde tzv. rozjedou. To znamená, že např. nemusí sedět aktiva na pasiva. </t>
  </si>
  <si>
    <t>Jak z toho ven?</t>
  </si>
  <si>
    <t>b) jedná se řádově o jednotky; pokud je rozdíl např. 2, je potřeba o tuto částku ručně upravit některý z řádků příslušného výkazu</t>
  </si>
  <si>
    <t>d) částku není nutné zadávat najednou, je možné ji rozdělit např. na 1 a 1, které zadáte do dvou řádků</t>
  </si>
  <si>
    <t>e) správné ošetření zaokrouhlení pak indikují zelené prázdné buňky</t>
  </si>
  <si>
    <t>šedé buňky pak udávají, jaké zaokrouhlení bylo použito</t>
  </si>
  <si>
    <t>c) částku tedy zadejte do modrých buněk do sloupců vpravo od výkazů - do toho řádku, do kterého chcete zaokrouhlení "schovat"</t>
  </si>
  <si>
    <t>Součet z zokrouhleno</t>
  </si>
  <si>
    <t>A. Provozní hospodářský výsledek</t>
  </si>
  <si>
    <t>B. Finanční hospodářský výsledek</t>
  </si>
  <si>
    <t>C. Mimořádný hospodářský výsledek</t>
  </si>
  <si>
    <t>počet účtů bez klasifikace</t>
  </si>
  <si>
    <t>počet účtů bez přiřazení řádku výkazu</t>
  </si>
  <si>
    <t>Kontrola přiřazení účtů:</t>
  </si>
  <si>
    <t>Kontrolní součty:</t>
  </si>
  <si>
    <t>označení chyb. hodnot v "DATA" sloupec R</t>
  </si>
  <si>
    <t>počet nezařazených záznamů</t>
  </si>
  <si>
    <t>b) je potřeba vyplnit datum, ke kterému se výkazy sestavují, a to za běžné i minulé období. Do listu "DATA" je možné doplnit údaje i za více období a vyhotovovat např. výkazy čtvrtletní, měsíční atd.</t>
  </si>
  <si>
    <t>POZOR: všechny účty v rámci obratové předvahy musí mít stejný počet pozic, s výjimkou účtů třídy 0, které mohou mít počet pozic snížený o jedničku (mohou být bez nuly na začátku)!</t>
  </si>
  <si>
    <t>POZOR: v případě, že změníte jednotku vykazování poté, co již máte upraveno zaokrouhlování, bude pravděpodobně nutné zaokrouhlování v jednotlivývh výkazech znovu upravit</t>
  </si>
  <si>
    <t>počet pozic v čísle účtu</t>
  </si>
  <si>
    <t>(např. 112100 = 6)</t>
  </si>
  <si>
    <t>Poznámka 2: konečné zůstatky MD musí být zadány jako kladné, zůstatky na straně D pak jako záporné. Suma hodnot zadaných ve sloupci "zůstatek" by měla být 0.</t>
  </si>
  <si>
    <t xml:space="preserve">a) z vašeho účetního softwaru si vyexportujte soubor s obratovou předvahou za běžné a za minulé období  a obě předvahy (popř. i libovolný počet předvah k různým závěrkovým datům) </t>
  </si>
  <si>
    <t xml:space="preserve">si upravte tak, aby je bylo možno nakopírovat pod sebe do listu "DATA" v následujícím tvaru: </t>
  </si>
  <si>
    <t>7. sloupec (povinný) = konečný zůstatek</t>
  </si>
  <si>
    <t xml:space="preserve">5.-6. sloupce (nepovinné) = obraty MD a D, </t>
  </si>
  <si>
    <t xml:space="preserve">4. sloupec (nepovinný) = poč.zůst., </t>
  </si>
  <si>
    <t xml:space="preserve">3. sloupec "název účtu" (nepovinný); </t>
  </si>
  <si>
    <t xml:space="preserve">2. sloupec "ucet" (povinný) = číslo účtu; </t>
  </si>
  <si>
    <t>1. sloupec "datum" (povinný) =zde udejte ke každému zůstatku účtu, k jakému závěrkovému dni se vztahuje (tj. obratová předvaha k 31.12.2013 bude mít u každého účtu uveden datum 31.12.2013 a pod ní nakopírovaná obratová předvaha k 31.12.2012 bude mít u každého účtu datum 31.12.2012;</t>
  </si>
  <si>
    <t xml:space="preserve"> - vyfiltrujte si v listu "DATA" ve sloupci O řádky, ve kterých se vyskytuje slovo "doplnit" a do sloupce R pak ručně vypište správná čísla řádků výkazů </t>
  </si>
  <si>
    <t xml:space="preserve">b) účet sice má legislativou jednoznačně přiřazený řádek výkazů, ale věcná podstata účtu tomu neodpovídá </t>
  </si>
  <si>
    <t>(např. na účtu 315 jsou zaúčtovány případy, které svou povahou spadají do řádku "Jiné pohledávky", namísto automaticky přiřazeného řádku "Pohledávky z obchodních vztahů")</t>
  </si>
  <si>
    <t xml:space="preserve">c) účet není obsažen ve směrné účtové osnově - např. účetní jednotka používá účet 334, 348, interní účty 999 atd. </t>
  </si>
  <si>
    <t>Kontrola úplnosti přiřazení účtů:</t>
  </si>
  <si>
    <t xml:space="preserve"> - v listu "INDEX" v části Kontrola přiřazení účtů ověřte, zda je počet nezařazených záznamů = "žádný - OK"</t>
  </si>
  <si>
    <t xml:space="preserve"> - pokud ne, najdete zde počet nepřiřazených účtů a jejich barevné označení, pod kterým účty najdete v listu "DATA"</t>
  </si>
  <si>
    <t>ve sloupci R - viz obrázek</t>
  </si>
  <si>
    <t>Zaokrouhlení:</t>
  </si>
  <si>
    <t xml:space="preserve"> - modře označené jsou řádky s účty, jejichž přiřazení není jednoznačené a je nutné je přiřadit do řádků výkazů ručně - pro opravu tohoto stavu prosím postupujte podle bodu 4 tohoto návodu.</t>
  </si>
  <si>
    <t>(prázdné)</t>
  </si>
  <si>
    <t xml:space="preserve">Poznámka 1: pokud nezadáte data do nepovinných sloupců, musí zůstat prázdné. </t>
  </si>
  <si>
    <t xml:space="preserve"> - vyfiltrujte si v listu "DATA" ve sloupci O řádky, ve kterých se vyskytuje spojení "účet n/a" a ve sloupci D nahraďte toto nestandardní číslo účtu jiným číslem účtu, které je součástí směrné </t>
  </si>
  <si>
    <t xml:space="preserve">účtové osnovy a jeho povaha nejlépe odpovídá obsahu zůstatku daného účtu </t>
  </si>
  <si>
    <t>Tip 1: pokud budete chtít později zjistit, jaké účty mají ručně (tedy nikoliv automaticky) přiřazený řádek výkazů, stačí si sloupec R vyfiltrovat podle modré barvy (v Excel 2010 a výše).</t>
  </si>
  <si>
    <t xml:space="preserve">Tip 2: pokud budete potřebovat získat ucelený přehled přiřazení účtů do jednotlivých řádků výkazů, můžete využít list "pivot". Klikněte pravým tlačítkem na tabulku a vyberte "Obnovit", </t>
  </si>
  <si>
    <t xml:space="preserve">aby se do tabulky načetla aktuální data. </t>
  </si>
  <si>
    <t xml:space="preserve"> - červeně označené jsou řádky s účty, pro které systém nenalezl ekvivalent ve směrné účtové osnově - u těchto účtů nahraďte toto nestandardní číslo účtu jiným číslem účtu, které je součástí </t>
  </si>
  <si>
    <t xml:space="preserve">   směrné účtové osnovy a jeho povaha nejlépe odpovídá obsahu zůstatku daného účtu.</t>
  </si>
  <si>
    <t>© www.cbaudit.cz</t>
  </si>
  <si>
    <t>česky</t>
  </si>
  <si>
    <t>e) vyberte jazyk výkazu; výkazy mohou být sestaveny v češtině, němčině a angličtině. Verze přístupná volně ke stažení na našich internetových stránkách možnost volby jazyka neumožňuje. Pokud potřebujete sestavit výkazy v němčině nebo angličtině, kontaktujte nás.</t>
  </si>
  <si>
    <t>Total</t>
  </si>
  <si>
    <t>Osobní náklady (ř. 13 až 16)</t>
  </si>
  <si>
    <t>Provozní výsledek hospodaření
(ř. 11 - 12 - 17 - 18 + 19 - 22 - 25 + 26 - 27 +(-28) - (-29))</t>
  </si>
  <si>
    <t>Operating profit loss
(l. 11 - 12 - 17 - 18 + 19 - 22 - 25 + 26 - 27 +(-28) - (-29))</t>
  </si>
  <si>
    <t>Betriebsergebnis
(Z. 11 - 12 - 17 - 18 + 19 - 22 - 25 + 26 - 27 +(-28) - (-29))</t>
  </si>
  <si>
    <t>Finanční výsledek hospodaření 
(ř. 31 - 32 + 33 + 37 - 38 + 39 - 40 - 41 + 42 - 43 + 44 - 45 -(-46) +(-47))</t>
  </si>
  <si>
    <t>Profit (loss) from financial operations
(l. 31 - 32 + 33 + 37 - 38 + 39 - 40 - 41 + 42 - 43 + 44 - 45 -(-46) +(-47))</t>
  </si>
  <si>
    <t>Finanzergebnis
(Z. 31 - 32 + 33 + 37 - 38 + 39 - 40 - 41 + 42 - 43 + 44 - 45 -(-46) +(-47))</t>
  </si>
  <si>
    <t>Profit / Loss for the accounting period   (l. 52 + 58 - 59)</t>
  </si>
  <si>
    <t>Jahresüberschuss/ Jahresfehlbetrag ( + /-)   (Z. 52 + 58 - 59)</t>
  </si>
  <si>
    <t>Profit / Loss before tax    (l. 30 + 48 + 53 - 54)</t>
  </si>
  <si>
    <t>Ergebnis vor Steuern    (Z. 30 + 48 + 53 - 54)</t>
  </si>
  <si>
    <t>Profit (loss) on ordinary activities after tax  (l. 30 + 48 - 49)</t>
  </si>
  <si>
    <t>Ergebnis der gewöhnlichen Geschäftstätigkeit   (Z. 30 + 48 - 49)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</si>
</sst>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&quot;IČ:         &quot;\ General"/>
  </numFmts>
  <fonts count="5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 tint="-4.9989318521683403E-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8"/>
      <color rgb="FF0000FF"/>
      <name val="Calibri"/>
      <family val="2"/>
      <charset val="238"/>
    </font>
    <font>
      <sz val="8"/>
      <color rgb="FF0000FF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ck">
        <color theme="0"/>
      </right>
      <top style="thin">
        <color theme="0" tint="-0.24994659260841701"/>
      </top>
      <bottom/>
      <diagonal/>
    </border>
    <border>
      <left style="thick">
        <color theme="0"/>
      </left>
      <right/>
      <top style="thin">
        <color theme="0" tint="-0.24994659260841701"/>
      </top>
      <bottom/>
      <diagonal/>
    </border>
    <border>
      <left style="thick">
        <color theme="0" tint="-4.9989318521683403E-2"/>
      </left>
      <right/>
      <top/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9" fillId="0" borderId="0" applyNumberFormat="0" applyFill="0" applyBorder="0" applyAlignment="0" applyProtection="0"/>
    <xf numFmtId="0" fontId="2" fillId="0" borderId="0"/>
  </cellStyleXfs>
  <cellXfs count="442">
    <xf numFmtId="0" fontId="0" fillId="0" borderId="0" xfId="0"/>
    <xf numFmtId="0" fontId="6" fillId="0" borderId="0" xfId="0" applyFont="1"/>
    <xf numFmtId="0" fontId="5" fillId="0" borderId="0" xfId="1"/>
    <xf numFmtId="0" fontId="8" fillId="0" borderId="0" xfId="1" applyFont="1"/>
    <xf numFmtId="0" fontId="11" fillId="0" borderId="0" xfId="0" applyFont="1"/>
    <xf numFmtId="164" fontId="13" fillId="0" borderId="0" xfId="0" applyNumberFormat="1" applyFont="1" applyAlignment="1">
      <alignment horizontal="center"/>
    </xf>
    <xf numFmtId="164" fontId="15" fillId="7" borderId="0" xfId="1" applyNumberFormat="1" applyFont="1" applyFill="1" applyAlignment="1">
      <alignment horizontal="center"/>
    </xf>
    <xf numFmtId="164" fontId="7" fillId="4" borderId="0" xfId="1" applyNumberFormat="1" applyFont="1" applyFill="1" applyAlignment="1">
      <alignment horizontal="left"/>
    </xf>
    <xf numFmtId="164" fontId="15" fillId="7" borderId="0" xfId="1" applyNumberFormat="1" applyFont="1" applyFill="1" applyAlignment="1">
      <alignment horizontal="left"/>
    </xf>
    <xf numFmtId="4" fontId="5" fillId="7" borderId="0" xfId="1" applyNumberFormat="1" applyFill="1"/>
    <xf numFmtId="4" fontId="7" fillId="4" borderId="0" xfId="1" applyNumberFormat="1" applyFont="1" applyFill="1"/>
    <xf numFmtId="164" fontId="14" fillId="7" borderId="0" xfId="1" applyNumberFormat="1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164" fontId="13" fillId="0" borderId="0" xfId="0" applyNumberFormat="1" applyFont="1"/>
    <xf numFmtId="0" fontId="13" fillId="0" borderId="0" xfId="0" applyFont="1"/>
    <xf numFmtId="164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NumberFormat="1" applyFont="1" applyFill="1"/>
    <xf numFmtId="164" fontId="12" fillId="3" borderId="0" xfId="0" applyNumberFormat="1" applyFont="1" applyFill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3" borderId="0" xfId="0" applyNumberFormat="1" applyFont="1" applyFill="1"/>
    <xf numFmtId="164" fontId="7" fillId="4" borderId="0" xfId="1" applyNumberFormat="1" applyFont="1" applyFill="1" applyAlignment="1"/>
    <xf numFmtId="164" fontId="15" fillId="7" borderId="0" xfId="1" applyNumberFormat="1" applyFont="1" applyFill="1" applyAlignment="1"/>
    <xf numFmtId="164" fontId="14" fillId="7" borderId="0" xfId="1" applyNumberFormat="1" applyFont="1" applyFill="1" applyAlignment="1"/>
    <xf numFmtId="164" fontId="13" fillId="0" borderId="0" xfId="0" applyNumberFormat="1" applyFont="1" applyFill="1" applyAlignment="1">
      <alignment horizontal="center"/>
    </xf>
    <xf numFmtId="20" fontId="13" fillId="0" borderId="0" xfId="0" applyNumberFormat="1" applyFont="1"/>
    <xf numFmtId="164" fontId="12" fillId="3" borderId="0" xfId="0" applyNumberFormat="1" applyFont="1" applyFill="1" applyAlignment="1">
      <alignment horizontal="center"/>
    </xf>
    <xf numFmtId="0" fontId="11" fillId="2" borderId="0" xfId="0" applyFont="1" applyFill="1"/>
    <xf numFmtId="0" fontId="12" fillId="3" borderId="0" xfId="0" applyNumberFormat="1" applyFont="1" applyFill="1" applyAlignment="1">
      <alignment horizontal="left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26" fillId="0" borderId="0" xfId="2" applyFont="1" applyFill="1" applyAlignment="1">
      <alignment horizontal="left"/>
    </xf>
    <xf numFmtId="0" fontId="26" fillId="0" borderId="0" xfId="2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4" fillId="4" borderId="0" xfId="1" applyNumberFormat="1" applyFont="1" applyFill="1" applyAlignment="1">
      <alignment horizontal="left"/>
    </xf>
    <xf numFmtId="0" fontId="15" fillId="7" borderId="0" xfId="1" applyNumberFormat="1" applyFont="1" applyFill="1" applyAlignment="1">
      <alignment horizontal="center"/>
    </xf>
    <xf numFmtId="0" fontId="1" fillId="0" borderId="0" xfId="2" applyFont="1" applyFill="1" applyAlignment="1">
      <alignment horizontal="left" vertical="top"/>
    </xf>
    <xf numFmtId="0" fontId="1" fillId="0" borderId="0" xfId="2" applyFont="1" applyFill="1" applyAlignment="1">
      <alignment horizontal="left" vertical="center"/>
    </xf>
    <xf numFmtId="0" fontId="31" fillId="0" borderId="0" xfId="0" applyFont="1" applyFill="1" applyAlignment="1"/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79" xfId="0" applyFont="1" applyBorder="1" applyAlignment="1">
      <alignment vertical="center"/>
    </xf>
    <xf numFmtId="0" fontId="36" fillId="0" borderId="79" xfId="0" applyFont="1" applyBorder="1" applyAlignment="1">
      <alignment vertical="center"/>
    </xf>
    <xf numFmtId="0" fontId="10" fillId="0" borderId="79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37" fillId="0" borderId="79" xfId="0" applyFont="1" applyBorder="1" applyAlignment="1">
      <alignment vertical="center" wrapText="1"/>
    </xf>
    <xf numFmtId="0" fontId="37" fillId="0" borderId="79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10" fillId="0" borderId="79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34" fillId="7" borderId="0" xfId="0" applyFont="1" applyFill="1" applyAlignment="1">
      <alignment horizontal="left" vertical="center"/>
    </xf>
    <xf numFmtId="4" fontId="34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0" fontId="34" fillId="7" borderId="79" xfId="0" applyFont="1" applyFill="1" applyBorder="1" applyAlignment="1">
      <alignment vertical="center"/>
    </xf>
    <xf numFmtId="4" fontId="34" fillId="7" borderId="79" xfId="0" applyNumberFormat="1" applyFont="1" applyFill="1" applyBorder="1" applyAlignment="1">
      <alignment vertical="center"/>
    </xf>
    <xf numFmtId="0" fontId="10" fillId="7" borderId="79" xfId="0" applyFont="1" applyFill="1" applyBorder="1" applyAlignment="1">
      <alignment vertical="center"/>
    </xf>
    <xf numFmtId="164" fontId="34" fillId="7" borderId="0" xfId="0" applyNumberFormat="1" applyFont="1" applyFill="1" applyAlignment="1">
      <alignment horizontal="left" vertical="center"/>
    </xf>
    <xf numFmtId="0" fontId="47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24" fillId="4" borderId="0" xfId="1" applyNumberFormat="1" applyFont="1" applyFill="1" applyAlignment="1"/>
    <xf numFmtId="0" fontId="26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horizontal="left" vertical="center"/>
    </xf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horizont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14" fontId="38" fillId="3" borderId="82" xfId="0" applyNumberFormat="1" applyFont="1" applyFill="1" applyBorder="1" applyAlignment="1" applyProtection="1">
      <alignment horizontal="center" vertical="center"/>
      <protection locked="0"/>
    </xf>
    <xf numFmtId="14" fontId="38" fillId="3" borderId="83" xfId="0" applyNumberFormat="1" applyFont="1" applyFill="1" applyBorder="1" applyAlignment="1" applyProtection="1">
      <alignment horizontal="center" vertical="center"/>
      <protection locked="0"/>
    </xf>
    <xf numFmtId="0" fontId="38" fillId="3" borderId="0" xfId="0" applyFont="1" applyFill="1" applyBorder="1" applyAlignment="1" applyProtection="1">
      <alignment horizontal="center" vertical="center"/>
      <protection locked="0"/>
    </xf>
    <xf numFmtId="0" fontId="41" fillId="3" borderId="0" xfId="1" applyFont="1" applyFill="1" applyProtection="1">
      <protection locked="0"/>
    </xf>
    <xf numFmtId="3" fontId="41" fillId="3" borderId="0" xfId="1" applyNumberFormat="1" applyFont="1" applyFill="1" applyProtection="1">
      <protection locked="0"/>
    </xf>
    <xf numFmtId="4" fontId="41" fillId="3" borderId="0" xfId="1" applyNumberFormat="1" applyFont="1" applyFill="1" applyAlignment="1" applyProtection="1">
      <alignment horizontal="center"/>
      <protection locked="0"/>
    </xf>
    <xf numFmtId="14" fontId="42" fillId="0" borderId="0" xfId="1" applyNumberFormat="1" applyFont="1" applyProtection="1">
      <protection locked="0"/>
    </xf>
    <xf numFmtId="0" fontId="42" fillId="0" borderId="0" xfId="1" applyFont="1" applyProtection="1">
      <protection locked="0"/>
    </xf>
    <xf numFmtId="3" fontId="42" fillId="0" borderId="0" xfId="1" applyNumberFormat="1" applyFont="1" applyProtection="1">
      <protection locked="0"/>
    </xf>
    <xf numFmtId="4" fontId="42" fillId="0" borderId="0" xfId="1" applyNumberFormat="1" applyFont="1" applyAlignment="1" applyProtection="1">
      <alignment horizontal="right"/>
      <protection locked="0"/>
    </xf>
    <xf numFmtId="164" fontId="41" fillId="3" borderId="0" xfId="1" applyNumberFormat="1" applyFont="1" applyFill="1" applyAlignment="1" applyProtection="1">
      <alignment horizontal="left"/>
      <protection locked="0"/>
    </xf>
    <xf numFmtId="164" fontId="42" fillId="5" borderId="0" xfId="1" applyNumberFormat="1" applyFont="1" applyFill="1" applyAlignment="1" applyProtection="1">
      <alignment horizontal="center"/>
      <protection locked="0"/>
    </xf>
    <xf numFmtId="0" fontId="42" fillId="7" borderId="0" xfId="1" applyNumberFormat="1" applyFont="1" applyFill="1" applyAlignment="1" applyProtection="1">
      <alignment horizontal="center"/>
      <protection locked="0"/>
    </xf>
    <xf numFmtId="14" fontId="42" fillId="0" borderId="0" xfId="1" applyNumberFormat="1" applyFont="1" applyFill="1" applyProtection="1">
      <protection locked="0"/>
    </xf>
    <xf numFmtId="0" fontId="42" fillId="0" borderId="0" xfId="1" applyFont="1" applyFill="1" applyProtection="1">
      <protection locked="0"/>
    </xf>
    <xf numFmtId="3" fontId="42" fillId="0" borderId="0" xfId="1" applyNumberFormat="1" applyFont="1" applyFill="1" applyProtection="1">
      <protection locked="0"/>
    </xf>
    <xf numFmtId="4" fontId="42" fillId="0" borderId="0" xfId="1" applyNumberFormat="1" applyFont="1" applyFill="1" applyAlignment="1" applyProtection="1">
      <alignment horizontal="right"/>
      <protection locked="0"/>
    </xf>
    <xf numFmtId="3" fontId="41" fillId="3" borderId="0" xfId="1" applyNumberFormat="1" applyFont="1" applyFill="1" applyAlignment="1" applyProtection="1">
      <alignment horizontal="left"/>
      <protection locked="0"/>
    </xf>
    <xf numFmtId="0" fontId="10" fillId="7" borderId="0" xfId="0" applyFont="1" applyFill="1" applyBorder="1" applyAlignment="1">
      <alignment vertical="top"/>
    </xf>
    <xf numFmtId="0" fontId="10" fillId="7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28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horizontal="left" vertical="top" wrapText="1" indent="1"/>
    </xf>
    <xf numFmtId="0" fontId="50" fillId="7" borderId="84" xfId="0" applyFont="1" applyFill="1" applyBorder="1" applyAlignment="1">
      <alignment horizontal="left" vertical="top" wrapText="1" indent="1"/>
    </xf>
    <xf numFmtId="0" fontId="10" fillId="0" borderId="84" xfId="0" applyFont="1" applyFill="1" applyBorder="1" applyAlignment="1">
      <alignment horizontal="left" vertical="top" wrapText="1" indent="1"/>
    </xf>
    <xf numFmtId="0" fontId="49" fillId="0" borderId="84" xfId="0" applyFont="1" applyFill="1" applyBorder="1" applyAlignment="1">
      <alignment horizontal="left" vertical="top" wrapText="1" indent="1"/>
    </xf>
    <xf numFmtId="0" fontId="10" fillId="0" borderId="84" xfId="0" applyFont="1" applyFill="1" applyBorder="1" applyAlignment="1">
      <alignment horizontal="left" vertical="top" indent="1"/>
    </xf>
    <xf numFmtId="0" fontId="49" fillId="0" borderId="84" xfId="0" applyFont="1" applyFill="1" applyBorder="1" applyAlignment="1">
      <alignment horizontal="left" vertical="top" indent="1"/>
    </xf>
    <xf numFmtId="0" fontId="10" fillId="0" borderId="84" xfId="0" applyFont="1" applyFill="1" applyBorder="1" applyAlignment="1">
      <alignment horizontal="left" vertical="top" indent="2"/>
    </xf>
    <xf numFmtId="0" fontId="51" fillId="0" borderId="84" xfId="0" applyFont="1" applyFill="1" applyBorder="1" applyAlignment="1">
      <alignment horizontal="left" vertical="top" indent="2"/>
    </xf>
    <xf numFmtId="0" fontId="51" fillId="0" borderId="84" xfId="0" applyFont="1" applyFill="1" applyBorder="1" applyAlignment="1">
      <alignment horizontal="left" vertical="top" indent="1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6" fillId="0" borderId="0" xfId="2" applyFont="1" applyFill="1" applyBorder="1" applyAlignment="1">
      <alignment horizontal="left"/>
    </xf>
    <xf numFmtId="0" fontId="10" fillId="0" borderId="0" xfId="0" applyFont="1" applyFill="1" applyBorder="1" applyAlignment="1"/>
    <xf numFmtId="0" fontId="1" fillId="0" borderId="0" xfId="2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left" vertical="center"/>
    </xf>
    <xf numFmtId="0" fontId="38" fillId="3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>
      <alignment horizontal="left" vertical="center" indent="1"/>
    </xf>
    <xf numFmtId="0" fontId="39" fillId="3" borderId="8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2" fillId="0" borderId="0" xfId="2" applyFont="1" applyFill="1" applyBorder="1" applyAlignment="1" applyProtection="1">
      <protection hidden="1"/>
    </xf>
    <xf numFmtId="0" fontId="23" fillId="0" borderId="0" xfId="2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vertical="top"/>
      <protection hidden="1"/>
    </xf>
    <xf numFmtId="0" fontId="3" fillId="0" borderId="0" xfId="2" applyFont="1" applyFill="1" applyBorder="1" applyAlignment="1" applyProtection="1">
      <alignment horizontal="center" vertical="top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0" fontId="46" fillId="0" borderId="0" xfId="2" applyFont="1" applyFill="1" applyBorder="1" applyAlignment="1" applyProtection="1">
      <alignment horizontal="right" vertical="center"/>
      <protection hidden="1"/>
    </xf>
    <xf numFmtId="0" fontId="19" fillId="0" borderId="0" xfId="2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right" vertical="center"/>
      <protection hidden="1"/>
    </xf>
    <xf numFmtId="166" fontId="46" fillId="0" borderId="0" xfId="2" applyNumberFormat="1" applyFont="1" applyFill="1" applyBorder="1" applyAlignment="1" applyProtection="1">
      <alignment horizontal="right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16" fillId="6" borderId="30" xfId="3" applyFont="1" applyFill="1" applyBorder="1" applyAlignment="1" applyProtection="1">
      <alignment horizontal="center"/>
      <protection hidden="1"/>
    </xf>
    <xf numFmtId="0" fontId="16" fillId="6" borderId="1" xfId="3" applyFont="1" applyFill="1" applyBorder="1" applyAlignment="1" applyProtection="1">
      <alignment horizontal="center"/>
      <protection hidden="1"/>
    </xf>
    <xf numFmtId="0" fontId="3" fillId="6" borderId="13" xfId="2" applyFont="1" applyFill="1" applyBorder="1" applyAlignment="1" applyProtection="1">
      <alignment horizontal="center" vertical="center"/>
      <protection hidden="1"/>
    </xf>
    <xf numFmtId="0" fontId="3" fillId="6" borderId="0" xfId="2" applyFont="1" applyFill="1" applyBorder="1" applyAlignment="1" applyProtection="1">
      <alignment horizontal="center" vertical="center"/>
      <protection hidden="1"/>
    </xf>
    <xf numFmtId="0" fontId="3" fillId="6" borderId="3" xfId="2" applyFont="1" applyFill="1" applyBorder="1" applyAlignment="1" applyProtection="1">
      <alignment horizontal="center" vertical="center"/>
      <protection hidden="1"/>
    </xf>
    <xf numFmtId="0" fontId="3" fillId="6" borderId="5" xfId="2" applyFont="1" applyFill="1" applyBorder="1" applyAlignment="1" applyProtection="1">
      <alignment vertical="center"/>
      <protection hidden="1"/>
    </xf>
    <xf numFmtId="0" fontId="25" fillId="6" borderId="4" xfId="2" applyFont="1" applyFill="1" applyBorder="1" applyAlignment="1" applyProtection="1">
      <alignment horizontal="center" vertical="top"/>
      <protection hidden="1"/>
    </xf>
    <xf numFmtId="0" fontId="16" fillId="6" borderId="48" xfId="3" applyFont="1" applyFill="1" applyBorder="1" applyAlignment="1" applyProtection="1">
      <alignment horizontal="center" vertical="center"/>
      <protection hidden="1"/>
    </xf>
    <xf numFmtId="0" fontId="16" fillId="6" borderId="59" xfId="3" applyFont="1" applyFill="1" applyBorder="1" applyAlignment="1" applyProtection="1">
      <alignment horizontal="center" vertical="center"/>
      <protection hidden="1"/>
    </xf>
    <xf numFmtId="0" fontId="25" fillId="6" borderId="9" xfId="2" applyFont="1" applyFill="1" applyBorder="1" applyAlignment="1" applyProtection="1">
      <alignment horizontal="center" vertical="center"/>
      <protection hidden="1"/>
    </xf>
    <xf numFmtId="0" fontId="25" fillId="6" borderId="8" xfId="2" applyFont="1" applyFill="1" applyBorder="1" applyAlignment="1" applyProtection="1">
      <alignment horizontal="center" vertical="center"/>
      <protection hidden="1"/>
    </xf>
    <xf numFmtId="0" fontId="16" fillId="6" borderId="8" xfId="3" applyFont="1" applyFill="1" applyBorder="1" applyAlignment="1" applyProtection="1">
      <alignment horizontal="center" vertical="center"/>
      <protection hidden="1"/>
    </xf>
    <xf numFmtId="0" fontId="16" fillId="6" borderId="60" xfId="3" applyFont="1" applyFill="1" applyBorder="1" applyAlignment="1" applyProtection="1">
      <alignment horizontal="center" vertical="center"/>
      <protection hidden="1"/>
    </xf>
    <xf numFmtId="0" fontId="17" fillId="0" borderId="16" xfId="3" applyFont="1" applyFill="1" applyBorder="1" applyAlignment="1" applyProtection="1">
      <alignment horizontal="center" vertical="center"/>
      <protection hidden="1"/>
    </xf>
    <xf numFmtId="0" fontId="10" fillId="0" borderId="31" xfId="2" applyFont="1" applyFill="1" applyBorder="1" applyAlignment="1" applyProtection="1">
      <alignment horizontal="center" vertical="center"/>
      <protection hidden="1"/>
    </xf>
    <xf numFmtId="0" fontId="17" fillId="0" borderId="32" xfId="2" applyFont="1" applyFill="1" applyBorder="1" applyAlignment="1" applyProtection="1">
      <alignment horizontal="center" vertical="center"/>
      <protection hidden="1"/>
    </xf>
    <xf numFmtId="0" fontId="10" fillId="0" borderId="33" xfId="3" applyFont="1" applyFill="1" applyBorder="1" applyAlignment="1" applyProtection="1">
      <alignment vertical="center" wrapText="1"/>
      <protection hidden="1"/>
    </xf>
    <xf numFmtId="165" fontId="10" fillId="0" borderId="10" xfId="3" applyNumberFormat="1" applyFont="1" applyFill="1" applyBorder="1" applyAlignment="1" applyProtection="1">
      <alignment horizontal="center" vertical="center"/>
      <protection hidden="1"/>
    </xf>
    <xf numFmtId="3" fontId="29" fillId="0" borderId="32" xfId="3" applyNumberFormat="1" applyFont="1" applyFill="1" applyBorder="1" applyAlignment="1" applyProtection="1">
      <alignment vertical="center"/>
      <protection hidden="1"/>
    </xf>
    <xf numFmtId="3" fontId="29" fillId="0" borderId="61" xfId="3" applyNumberFormat="1" applyFont="1" applyFill="1" applyBorder="1" applyAlignment="1" applyProtection="1">
      <alignment vertical="center"/>
      <protection hidden="1"/>
    </xf>
    <xf numFmtId="0" fontId="10" fillId="0" borderId="24" xfId="3" applyFont="1" applyFill="1" applyBorder="1" applyAlignment="1" applyProtection="1">
      <alignment horizontal="center" vertical="center"/>
      <protection hidden="1"/>
    </xf>
    <xf numFmtId="0" fontId="31" fillId="0" borderId="25" xfId="3" applyFont="1" applyFill="1" applyBorder="1" applyAlignment="1" applyProtection="1">
      <alignment horizontal="center" vertical="center"/>
      <protection hidden="1"/>
    </xf>
    <xf numFmtId="0" fontId="30" fillId="0" borderId="46" xfId="3" applyFont="1" applyFill="1" applyBorder="1" applyAlignment="1" applyProtection="1">
      <alignment horizontal="center" vertical="center"/>
      <protection hidden="1"/>
    </xf>
    <xf numFmtId="0" fontId="10" fillId="0" borderId="53" xfId="3" applyFont="1" applyFill="1" applyBorder="1" applyAlignment="1" applyProtection="1">
      <alignment vertical="center" wrapText="1"/>
      <protection hidden="1"/>
    </xf>
    <xf numFmtId="165" fontId="10" fillId="0" borderId="48" xfId="3" applyNumberFormat="1" applyFont="1" applyFill="1" applyBorder="1" applyAlignment="1" applyProtection="1">
      <alignment horizontal="center" vertical="center"/>
      <protection hidden="1"/>
    </xf>
    <xf numFmtId="3" fontId="29" fillId="0" borderId="46" xfId="3" applyNumberFormat="1" applyFont="1" applyFill="1" applyBorder="1" applyAlignment="1" applyProtection="1">
      <alignment vertical="center"/>
      <protection hidden="1"/>
    </xf>
    <xf numFmtId="3" fontId="29" fillId="0" borderId="59" xfId="3" applyNumberFormat="1" applyFont="1" applyFill="1" applyBorder="1" applyAlignment="1" applyProtection="1">
      <alignment vertical="center"/>
      <protection hidden="1"/>
    </xf>
    <xf numFmtId="0" fontId="20" fillId="8" borderId="71" xfId="3" applyFont="1" applyFill="1" applyBorder="1" applyAlignment="1" applyProtection="1">
      <alignment vertical="center" wrapText="1"/>
      <protection hidden="1"/>
    </xf>
    <xf numFmtId="3" fontId="28" fillId="8" borderId="70" xfId="3" applyNumberFormat="1" applyFont="1" applyFill="1" applyBorder="1" applyAlignment="1" applyProtection="1">
      <alignment vertical="center"/>
      <protection hidden="1"/>
    </xf>
    <xf numFmtId="3" fontId="28" fillId="8" borderId="72" xfId="3" applyNumberFormat="1" applyFont="1" applyFill="1" applyBorder="1" applyAlignment="1" applyProtection="1">
      <alignment vertical="center"/>
      <protection hidden="1"/>
    </xf>
    <xf numFmtId="0" fontId="20" fillId="0" borderId="0" xfId="3" applyFont="1" applyFill="1" applyBorder="1" applyAlignment="1" applyProtection="1">
      <alignment horizontal="center" vertical="center"/>
      <protection hidden="1"/>
    </xf>
    <xf numFmtId="0" fontId="20" fillId="0" borderId="3" xfId="3" applyFont="1" applyFill="1" applyBorder="1" applyAlignment="1" applyProtection="1">
      <alignment horizontal="center" vertical="center"/>
      <protection hidden="1"/>
    </xf>
    <xf numFmtId="0" fontId="20" fillId="7" borderId="51" xfId="3" applyFont="1" applyFill="1" applyBorder="1" applyAlignment="1" applyProtection="1">
      <alignment vertical="center" wrapText="1"/>
      <protection hidden="1"/>
    </xf>
    <xf numFmtId="165" fontId="20" fillId="7" borderId="52" xfId="3" applyNumberFormat="1" applyFont="1" applyFill="1" applyBorder="1" applyAlignment="1" applyProtection="1">
      <alignment horizontal="center" vertical="center"/>
      <protection hidden="1"/>
    </xf>
    <xf numFmtId="3" fontId="28" fillId="7" borderId="54" xfId="3" applyNumberFormat="1" applyFont="1" applyFill="1" applyBorder="1" applyAlignment="1" applyProtection="1">
      <alignment vertical="center"/>
      <protection hidden="1"/>
    </xf>
    <xf numFmtId="3" fontId="28" fillId="7" borderId="64" xfId="3" applyNumberFormat="1" applyFont="1" applyFill="1" applyBorder="1" applyAlignment="1" applyProtection="1">
      <alignment vertical="center"/>
      <protection hidden="1"/>
    </xf>
    <xf numFmtId="0" fontId="10" fillId="0" borderId="13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0" fontId="10" fillId="0" borderId="37" xfId="3" applyFont="1" applyFill="1" applyBorder="1" applyAlignment="1" applyProtection="1">
      <alignment vertical="center" wrapText="1"/>
      <protection hidden="1"/>
    </xf>
    <xf numFmtId="165" fontId="10" fillId="0" borderId="38" xfId="3" applyNumberFormat="1" applyFont="1" applyFill="1" applyBorder="1" applyAlignment="1" applyProtection="1">
      <alignment horizontal="center" vertical="center"/>
      <protection hidden="1"/>
    </xf>
    <xf numFmtId="3" fontId="29" fillId="0" borderId="56" xfId="3" applyNumberFormat="1" applyFont="1" applyFill="1" applyBorder="1" applyAlignment="1" applyProtection="1">
      <alignment vertical="center"/>
      <protection hidden="1"/>
    </xf>
    <xf numFmtId="3" fontId="29" fillId="0" borderId="65" xfId="3" applyNumberFormat="1" applyFont="1" applyFill="1" applyBorder="1" applyAlignment="1" applyProtection="1">
      <alignment vertical="center"/>
      <protection hidden="1"/>
    </xf>
    <xf numFmtId="0" fontId="32" fillId="0" borderId="0" xfId="3" applyFont="1" applyFill="1" applyBorder="1" applyAlignment="1" applyProtection="1">
      <alignment horizontal="center" vertical="center"/>
      <protection hidden="1"/>
    </xf>
    <xf numFmtId="0" fontId="10" fillId="0" borderId="73" xfId="3" applyFont="1" applyFill="1" applyBorder="1" applyAlignment="1" applyProtection="1">
      <alignment vertical="center" wrapText="1"/>
      <protection hidden="1"/>
    </xf>
    <xf numFmtId="165" fontId="10" fillId="0" borderId="74" xfId="3" applyNumberFormat="1" applyFont="1" applyFill="1" applyBorder="1" applyAlignment="1" applyProtection="1">
      <alignment horizontal="center" vertical="center"/>
      <protection hidden="1"/>
    </xf>
    <xf numFmtId="3" fontId="29" fillId="0" borderId="75" xfId="3" applyNumberFormat="1" applyFont="1" applyFill="1" applyBorder="1" applyAlignment="1" applyProtection="1">
      <alignment vertical="center"/>
      <protection hidden="1"/>
    </xf>
    <xf numFmtId="3" fontId="29" fillId="0" borderId="76" xfId="3" applyNumberFormat="1" applyFont="1" applyFill="1" applyBorder="1" applyAlignment="1" applyProtection="1">
      <alignment vertical="center"/>
      <protection hidden="1"/>
    </xf>
    <xf numFmtId="0" fontId="20" fillId="0" borderId="24" xfId="2" applyFont="1" applyFill="1" applyBorder="1" applyAlignment="1" applyProtection="1">
      <alignment horizontal="center" vertical="center"/>
      <protection hidden="1"/>
    </xf>
    <xf numFmtId="0" fontId="20" fillId="0" borderId="25" xfId="2" applyFont="1" applyFill="1" applyBorder="1" applyAlignment="1" applyProtection="1">
      <alignment horizontal="center" vertical="center"/>
      <protection hidden="1"/>
    </xf>
    <xf numFmtId="0" fontId="20" fillId="0" borderId="46" xfId="3" applyFont="1" applyFill="1" applyBorder="1" applyAlignment="1" applyProtection="1">
      <alignment horizontal="center" vertical="center"/>
      <protection hidden="1"/>
    </xf>
    <xf numFmtId="0" fontId="20" fillId="7" borderId="34" xfId="3" applyFont="1" applyFill="1" applyBorder="1" applyAlignment="1" applyProtection="1">
      <alignment vertical="center" wrapText="1"/>
      <protection hidden="1"/>
    </xf>
    <xf numFmtId="165" fontId="20" fillId="7" borderId="35" xfId="3" applyNumberFormat="1" applyFont="1" applyFill="1" applyBorder="1" applyAlignment="1" applyProtection="1">
      <alignment horizontal="center" vertical="center"/>
      <protection hidden="1"/>
    </xf>
    <xf numFmtId="3" fontId="28" fillId="7" borderId="63" xfId="3" applyNumberFormat="1" applyFont="1" applyFill="1" applyBorder="1" applyAlignment="1" applyProtection="1">
      <alignment vertical="center"/>
      <protection hidden="1"/>
    </xf>
    <xf numFmtId="0" fontId="10" fillId="0" borderId="13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center" vertical="center"/>
      <protection hidden="1"/>
    </xf>
    <xf numFmtId="0" fontId="10" fillId="0" borderId="3" xfId="3" applyFont="1" applyFill="1" applyBorder="1" applyAlignment="1" applyProtection="1">
      <alignment horizontal="center" vertical="center"/>
      <protection hidden="1"/>
    </xf>
    <xf numFmtId="0" fontId="10" fillId="6" borderId="37" xfId="3" applyFont="1" applyFill="1" applyBorder="1" applyAlignment="1" applyProtection="1">
      <alignment vertical="center" wrapText="1"/>
      <protection hidden="1"/>
    </xf>
    <xf numFmtId="165" fontId="10" fillId="6" borderId="38" xfId="3" applyNumberFormat="1" applyFont="1" applyFill="1" applyBorder="1" applyAlignment="1" applyProtection="1">
      <alignment horizontal="center" vertical="center"/>
      <protection hidden="1"/>
    </xf>
    <xf numFmtId="3" fontId="29" fillId="6" borderId="56" xfId="3" applyNumberFormat="1" applyFont="1" applyFill="1" applyBorder="1" applyAlignment="1" applyProtection="1">
      <alignment vertical="center"/>
      <protection hidden="1"/>
    </xf>
    <xf numFmtId="3" fontId="29" fillId="6" borderId="65" xfId="3" applyNumberFormat="1" applyFont="1" applyFill="1" applyBorder="1" applyAlignment="1" applyProtection="1">
      <alignment vertical="center"/>
      <protection hidden="1"/>
    </xf>
    <xf numFmtId="0" fontId="32" fillId="0" borderId="13" xfId="2" applyFont="1" applyFill="1" applyBorder="1" applyAlignment="1" applyProtection="1">
      <alignment horizontal="center" vertical="center"/>
      <protection hidden="1"/>
    </xf>
    <xf numFmtId="0" fontId="20" fillId="0" borderId="13" xfId="2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horizontal="center" vertical="center"/>
      <protection hidden="1"/>
    </xf>
    <xf numFmtId="0" fontId="20" fillId="7" borderId="37" xfId="3" applyFont="1" applyFill="1" applyBorder="1" applyAlignment="1" applyProtection="1">
      <alignment vertical="center" wrapText="1"/>
      <protection hidden="1"/>
    </xf>
    <xf numFmtId="165" fontId="20" fillId="7" borderId="38" xfId="3" applyNumberFormat="1" applyFont="1" applyFill="1" applyBorder="1" applyAlignment="1" applyProtection="1">
      <alignment horizontal="center" vertical="center"/>
      <protection hidden="1"/>
    </xf>
    <xf numFmtId="3" fontId="28" fillId="7" borderId="56" xfId="3" applyNumberFormat="1" applyFont="1" applyFill="1" applyBorder="1" applyAlignment="1" applyProtection="1">
      <alignment vertical="center"/>
      <protection hidden="1"/>
    </xf>
    <xf numFmtId="3" fontId="28" fillId="7" borderId="65" xfId="3" applyNumberFormat="1" applyFont="1" applyFill="1" applyBorder="1" applyAlignment="1" applyProtection="1">
      <alignment vertical="center"/>
      <protection hidden="1"/>
    </xf>
    <xf numFmtId="0" fontId="10" fillId="6" borderId="73" xfId="3" applyFont="1" applyFill="1" applyBorder="1" applyAlignment="1" applyProtection="1">
      <alignment vertical="center" wrapText="1"/>
      <protection hidden="1"/>
    </xf>
    <xf numFmtId="165" fontId="10" fillId="6" borderId="74" xfId="3" applyNumberFormat="1" applyFont="1" applyFill="1" applyBorder="1" applyAlignment="1" applyProtection="1">
      <alignment horizontal="center" vertical="center"/>
      <protection hidden="1"/>
    </xf>
    <xf numFmtId="3" fontId="29" fillId="6" borderId="75" xfId="3" applyNumberFormat="1" applyFont="1" applyFill="1" applyBorder="1" applyAlignment="1" applyProtection="1">
      <alignment vertical="center"/>
      <protection hidden="1"/>
    </xf>
    <xf numFmtId="3" fontId="29" fillId="6" borderId="76" xfId="3" applyNumberFormat="1" applyFont="1" applyFill="1" applyBorder="1" applyAlignment="1" applyProtection="1">
      <alignment vertical="center"/>
      <protection hidden="1"/>
    </xf>
    <xf numFmtId="0" fontId="10" fillId="0" borderId="26" xfId="2" applyFont="1" applyFill="1" applyBorder="1" applyAlignment="1" applyProtection="1">
      <alignment horizontal="center" vertical="center"/>
      <protection hidden="1"/>
    </xf>
    <xf numFmtId="0" fontId="10" fillId="0" borderId="17" xfId="2" applyFont="1" applyFill="1" applyBorder="1" applyAlignment="1" applyProtection="1">
      <alignment horizontal="center" vertical="center"/>
      <protection hidden="1"/>
    </xf>
    <xf numFmtId="0" fontId="10" fillId="0" borderId="18" xfId="3" applyFont="1" applyFill="1" applyBorder="1" applyAlignment="1" applyProtection="1">
      <alignment horizontal="center" vertical="center"/>
      <protection hidden="1"/>
    </xf>
    <xf numFmtId="0" fontId="10" fillId="6" borderId="22" xfId="3" applyFont="1" applyFill="1" applyBorder="1" applyAlignment="1" applyProtection="1">
      <alignment vertical="center" wrapText="1"/>
      <protection hidden="1"/>
    </xf>
    <xf numFmtId="165" fontId="10" fillId="6" borderId="11" xfId="3" applyNumberFormat="1" applyFont="1" applyFill="1" applyBorder="1" applyAlignment="1" applyProtection="1">
      <alignment horizontal="center" vertical="center"/>
      <protection hidden="1"/>
    </xf>
    <xf numFmtId="3" fontId="29" fillId="6" borderId="18" xfId="3" applyNumberFormat="1" applyFont="1" applyFill="1" applyBorder="1" applyAlignment="1" applyProtection="1">
      <alignment vertical="center"/>
      <protection hidden="1"/>
    </xf>
    <xf numFmtId="3" fontId="29" fillId="6" borderId="62" xfId="3" applyNumberFormat="1" applyFont="1" applyFill="1" applyBorder="1" applyAlignment="1" applyProtection="1">
      <alignment vertical="center"/>
      <protection hidden="1"/>
    </xf>
    <xf numFmtId="0" fontId="20" fillId="6" borderId="13" xfId="2" applyFont="1" applyFill="1" applyBorder="1" applyAlignment="1" applyProtection="1">
      <alignment horizontal="center" vertical="center"/>
      <protection hidden="1"/>
    </xf>
    <xf numFmtId="0" fontId="20" fillId="6" borderId="0" xfId="2" applyFont="1" applyFill="1" applyBorder="1" applyAlignment="1" applyProtection="1">
      <alignment horizontal="center" vertical="center"/>
      <protection hidden="1"/>
    </xf>
    <xf numFmtId="0" fontId="20" fillId="6" borderId="0" xfId="3" applyFont="1" applyFill="1" applyBorder="1" applyAlignment="1" applyProtection="1">
      <alignment horizontal="center" vertical="center"/>
      <protection hidden="1"/>
    </xf>
    <xf numFmtId="3" fontId="28" fillId="7" borderId="55" xfId="3" applyNumberFormat="1" applyFont="1" applyFill="1" applyBorder="1" applyAlignment="1" applyProtection="1">
      <alignment vertical="center"/>
      <protection hidden="1"/>
    </xf>
    <xf numFmtId="0" fontId="10" fillId="6" borderId="13" xfId="2" applyFont="1" applyFill="1" applyBorder="1" applyAlignment="1" applyProtection="1">
      <alignment horizontal="center" vertical="center"/>
      <protection hidden="1"/>
    </xf>
    <xf numFmtId="0" fontId="10" fillId="6" borderId="0" xfId="2" applyFont="1" applyFill="1" applyBorder="1" applyAlignment="1" applyProtection="1">
      <alignment horizontal="center" vertical="center"/>
      <protection hidden="1"/>
    </xf>
    <xf numFmtId="0" fontId="10" fillId="6" borderId="0" xfId="3" applyFont="1" applyFill="1" applyBorder="1" applyAlignment="1" applyProtection="1">
      <alignment horizontal="center" vertical="center"/>
      <protection hidden="1"/>
    </xf>
    <xf numFmtId="0" fontId="32" fillId="6" borderId="0" xfId="2" applyFont="1" applyFill="1" applyBorder="1" applyAlignment="1" applyProtection="1">
      <alignment horizontal="center" vertical="center"/>
      <protection hidden="1"/>
    </xf>
    <xf numFmtId="0" fontId="20" fillId="6" borderId="24" xfId="2" applyFont="1" applyFill="1" applyBorder="1" applyAlignment="1" applyProtection="1">
      <alignment horizontal="center" vertical="center"/>
      <protection hidden="1"/>
    </xf>
    <xf numFmtId="0" fontId="10" fillId="6" borderId="25" xfId="2" applyFont="1" applyFill="1" applyBorder="1" applyAlignment="1" applyProtection="1">
      <alignment horizontal="center" vertical="center"/>
      <protection hidden="1"/>
    </xf>
    <xf numFmtId="0" fontId="10" fillId="6" borderId="25" xfId="3" applyFont="1" applyFill="1" applyBorder="1" applyAlignment="1" applyProtection="1">
      <alignment horizontal="center" vertical="center"/>
      <protection hidden="1"/>
    </xf>
    <xf numFmtId="0" fontId="32" fillId="6" borderId="13" xfId="2" applyFont="1" applyFill="1" applyBorder="1" applyAlignment="1" applyProtection="1">
      <alignment horizontal="center" vertical="center"/>
      <protection hidden="1"/>
    </xf>
    <xf numFmtId="0" fontId="10" fillId="6" borderId="24" xfId="2" applyFont="1" applyFill="1" applyBorder="1" applyAlignment="1" applyProtection="1">
      <alignment horizontal="center" vertical="center"/>
      <protection hidden="1"/>
    </xf>
    <xf numFmtId="0" fontId="10" fillId="6" borderId="53" xfId="3" applyFont="1" applyFill="1" applyBorder="1" applyAlignment="1" applyProtection="1">
      <alignment vertical="center" wrapText="1"/>
      <protection hidden="1"/>
    </xf>
    <xf numFmtId="165" fontId="10" fillId="6" borderId="48" xfId="3" applyNumberFormat="1" applyFont="1" applyFill="1" applyBorder="1" applyAlignment="1" applyProtection="1">
      <alignment horizontal="center" vertical="center"/>
      <protection hidden="1"/>
    </xf>
    <xf numFmtId="3" fontId="29" fillId="6" borderId="46" xfId="3" applyNumberFormat="1" applyFont="1" applyFill="1" applyBorder="1" applyAlignment="1" applyProtection="1">
      <alignment vertical="center"/>
      <protection hidden="1"/>
    </xf>
    <xf numFmtId="3" fontId="29" fillId="6" borderId="59" xfId="3" applyNumberFormat="1" applyFont="1" applyFill="1" applyBorder="1" applyAlignment="1" applyProtection="1">
      <alignment vertical="center"/>
      <protection hidden="1"/>
    </xf>
    <xf numFmtId="0" fontId="10" fillId="6" borderId="34" xfId="3" applyFont="1" applyFill="1" applyBorder="1" applyAlignment="1" applyProtection="1">
      <alignment vertical="center" wrapText="1"/>
      <protection hidden="1"/>
    </xf>
    <xf numFmtId="165" fontId="10" fillId="6" borderId="35" xfId="3" applyNumberFormat="1" applyFont="1" applyFill="1" applyBorder="1" applyAlignment="1" applyProtection="1">
      <alignment horizontal="center" vertical="center"/>
      <protection hidden="1"/>
    </xf>
    <xf numFmtId="3" fontId="29" fillId="6" borderId="54" xfId="3" applyNumberFormat="1" applyFont="1" applyFill="1" applyBorder="1" applyAlignment="1" applyProtection="1">
      <alignment vertical="center"/>
      <protection hidden="1"/>
    </xf>
    <xf numFmtId="3" fontId="29" fillId="6" borderId="63" xfId="3" applyNumberFormat="1" applyFont="1" applyFill="1" applyBorder="1" applyAlignment="1" applyProtection="1">
      <alignment vertical="center"/>
      <protection hidden="1"/>
    </xf>
    <xf numFmtId="0" fontId="20" fillId="6" borderId="25" xfId="2" applyFont="1" applyFill="1" applyBorder="1" applyAlignment="1" applyProtection="1">
      <alignment horizontal="center" vertical="center"/>
      <protection hidden="1"/>
    </xf>
    <xf numFmtId="0" fontId="20" fillId="6" borderId="25" xfId="3" applyFont="1" applyFill="1" applyBorder="1" applyAlignment="1" applyProtection="1">
      <alignment horizontal="center" vertical="center"/>
      <protection hidden="1"/>
    </xf>
    <xf numFmtId="0" fontId="10" fillId="6" borderId="3" xfId="3" applyFont="1" applyFill="1" applyBorder="1" applyAlignment="1" applyProtection="1">
      <alignment horizontal="center" vertical="center"/>
      <protection hidden="1"/>
    </xf>
    <xf numFmtId="0" fontId="10" fillId="0" borderId="84" xfId="0" applyFont="1" applyFill="1" applyBorder="1" applyAlignment="1">
      <alignment horizontal="left" vertical="top" wrapText="1" indent="2"/>
    </xf>
    <xf numFmtId="0" fontId="24" fillId="4" borderId="0" xfId="1" applyNumberFormat="1" applyFont="1" applyFill="1" applyAlignment="1"/>
    <xf numFmtId="0" fontId="15" fillId="7" borderId="0" xfId="1" applyNumberFormat="1" applyFont="1" applyFill="1" applyAlignment="1"/>
    <xf numFmtId="3" fontId="43" fillId="0" borderId="0" xfId="2" applyNumberFormat="1" applyFont="1" applyFill="1" applyBorder="1" applyAlignment="1" applyProtection="1">
      <alignment horizontal="center" vertical="center"/>
      <protection hidden="1"/>
    </xf>
    <xf numFmtId="3" fontId="3" fillId="0" borderId="0" xfId="2" applyNumberFormat="1" applyFont="1" applyFill="1" applyBorder="1" applyAlignment="1" applyProtection="1">
      <alignment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3" xfId="3" applyFont="1" applyFill="1" applyBorder="1" applyAlignment="1" applyProtection="1">
      <alignment horizontal="center" vertical="center"/>
      <protection hidden="1"/>
    </xf>
    <xf numFmtId="0" fontId="16" fillId="6" borderId="4" xfId="3" applyFont="1" applyFill="1" applyBorder="1" applyAlignment="1" applyProtection="1">
      <alignment horizontal="center" vertical="center"/>
      <protection hidden="1"/>
    </xf>
    <xf numFmtId="0" fontId="16" fillId="6" borderId="5" xfId="3" applyFont="1" applyFill="1" applyBorder="1" applyAlignment="1" applyProtection="1">
      <alignment horizontal="center" vertical="center"/>
      <protection hidden="1"/>
    </xf>
    <xf numFmtId="0" fontId="16" fillId="6" borderId="6" xfId="3" applyFont="1" applyFill="1" applyBorder="1" applyAlignment="1" applyProtection="1">
      <alignment horizontal="center" vertical="center"/>
      <protection hidden="1"/>
    </xf>
    <xf numFmtId="0" fontId="25" fillId="6" borderId="5" xfId="2" applyFont="1" applyFill="1" applyBorder="1" applyAlignment="1" applyProtection="1">
      <alignment horizontal="center" vertical="center"/>
      <protection hidden="1"/>
    </xf>
    <xf numFmtId="0" fontId="25" fillId="6" borderId="4" xfId="2" applyFont="1" applyFill="1" applyBorder="1" applyAlignment="1" applyProtection="1">
      <alignment horizontal="center" vertical="center"/>
      <protection hidden="1"/>
    </xf>
    <xf numFmtId="0" fontId="16" fillId="6" borderId="77" xfId="3" applyFont="1" applyFill="1" applyBorder="1" applyAlignment="1" applyProtection="1">
      <alignment horizontal="center" vertical="center"/>
      <protection hidden="1"/>
    </xf>
    <xf numFmtId="0" fontId="20" fillId="2" borderId="33" xfId="3" applyFont="1" applyFill="1" applyBorder="1" applyAlignment="1" applyProtection="1">
      <alignment vertical="center" wrapText="1"/>
      <protection hidden="1"/>
    </xf>
    <xf numFmtId="3" fontId="28" fillId="2" borderId="10" xfId="3" applyNumberFormat="1" applyFont="1" applyFill="1" applyBorder="1" applyAlignment="1" applyProtection="1">
      <alignment vertical="center"/>
      <protection hidden="1"/>
    </xf>
    <xf numFmtId="3" fontId="28" fillId="2" borderId="28" xfId="3" applyNumberFormat="1" applyFont="1" applyFill="1" applyBorder="1" applyAlignment="1" applyProtection="1">
      <alignment vertical="center"/>
      <protection hidden="1"/>
    </xf>
    <xf numFmtId="0" fontId="10" fillId="6" borderId="26" xfId="3" applyFont="1" applyFill="1" applyBorder="1" applyAlignment="1" applyProtection="1">
      <alignment horizontal="center" vertical="center"/>
      <protection hidden="1"/>
    </xf>
    <xf numFmtId="0" fontId="10" fillId="6" borderId="17" xfId="3" applyFont="1" applyFill="1" applyBorder="1" applyAlignment="1" applyProtection="1">
      <alignment horizontal="center" vertical="center"/>
      <protection hidden="1"/>
    </xf>
    <xf numFmtId="0" fontId="30" fillId="6" borderId="18" xfId="3" applyFont="1" applyFill="1" applyBorder="1" applyAlignment="1" applyProtection="1">
      <alignment horizontal="center" vertical="center"/>
      <protection hidden="1"/>
    </xf>
    <xf numFmtId="164" fontId="10" fillId="6" borderId="11" xfId="3" applyNumberFormat="1" applyFont="1" applyFill="1" applyBorder="1" applyAlignment="1" applyProtection="1">
      <alignment horizontal="center" vertical="center"/>
      <protection hidden="1"/>
    </xf>
    <xf numFmtId="3" fontId="29" fillId="6" borderId="11" xfId="3" applyNumberFormat="1" applyFont="1" applyFill="1" applyBorder="1" applyAlignment="1" applyProtection="1">
      <alignment vertical="center"/>
      <protection hidden="1"/>
    </xf>
    <xf numFmtId="3" fontId="29" fillId="6" borderId="12" xfId="3" applyNumberFormat="1" applyFont="1" applyFill="1" applyBorder="1" applyAlignment="1" applyProtection="1">
      <alignment vertical="center"/>
      <protection hidden="1"/>
    </xf>
    <xf numFmtId="0" fontId="20" fillId="2" borderId="22" xfId="3" applyFont="1" applyFill="1" applyBorder="1" applyAlignment="1" applyProtection="1">
      <alignment vertical="center" wrapText="1"/>
      <protection hidden="1"/>
    </xf>
    <xf numFmtId="3" fontId="28" fillId="2" borderId="11" xfId="3" applyNumberFormat="1" applyFont="1" applyFill="1" applyBorder="1" applyAlignment="1" applyProtection="1">
      <alignment vertical="center"/>
      <protection hidden="1"/>
    </xf>
    <xf numFmtId="3" fontId="28" fillId="2" borderId="12" xfId="3" applyNumberFormat="1" applyFont="1" applyFill="1" applyBorder="1" applyAlignment="1" applyProtection="1">
      <alignment vertical="center"/>
      <protection hidden="1"/>
    </xf>
    <xf numFmtId="3" fontId="28" fillId="7" borderId="35" xfId="3" applyNumberFormat="1" applyFont="1" applyFill="1" applyBorder="1" applyAlignment="1" applyProtection="1">
      <alignment vertical="center"/>
      <protection hidden="1"/>
    </xf>
    <xf numFmtId="3" fontId="28" fillId="7" borderId="36" xfId="3" applyNumberFormat="1" applyFont="1" applyFill="1" applyBorder="1" applyAlignment="1" applyProtection="1">
      <alignment vertical="center"/>
      <protection hidden="1"/>
    </xf>
    <xf numFmtId="0" fontId="10" fillId="6" borderId="13" xfId="3" applyFont="1" applyFill="1" applyBorder="1" applyAlignment="1" applyProtection="1">
      <alignment horizontal="center" vertical="center"/>
      <protection hidden="1"/>
    </xf>
    <xf numFmtId="164" fontId="10" fillId="6" borderId="38" xfId="3" applyNumberFormat="1" applyFont="1" applyFill="1" applyBorder="1" applyAlignment="1" applyProtection="1">
      <alignment horizontal="center" vertical="center"/>
      <protection hidden="1"/>
    </xf>
    <xf numFmtId="3" fontId="29" fillId="6" borderId="38" xfId="3" applyNumberFormat="1" applyFont="1" applyFill="1" applyBorder="1" applyAlignment="1" applyProtection="1">
      <alignment vertical="center"/>
      <protection hidden="1"/>
    </xf>
    <xf numFmtId="3" fontId="29" fillId="6" borderId="39" xfId="3" applyNumberFormat="1" applyFont="1" applyFill="1" applyBorder="1" applyAlignment="1" applyProtection="1">
      <alignment vertical="center"/>
      <protection hidden="1"/>
    </xf>
    <xf numFmtId="0" fontId="32" fillId="6" borderId="13" xfId="3" applyFont="1" applyFill="1" applyBorder="1" applyAlignment="1" applyProtection="1">
      <alignment horizontal="center" vertical="center"/>
      <protection hidden="1"/>
    </xf>
    <xf numFmtId="0" fontId="32" fillId="6" borderId="23" xfId="2" applyFont="1" applyFill="1" applyBorder="1" applyAlignment="1" applyProtection="1">
      <alignment horizontal="center" vertical="center"/>
      <protection hidden="1"/>
    </xf>
    <xf numFmtId="0" fontId="32" fillId="6" borderId="14" xfId="2" applyFont="1" applyFill="1" applyBorder="1" applyAlignment="1" applyProtection="1">
      <alignment horizontal="center" vertical="center"/>
      <protection hidden="1"/>
    </xf>
    <xf numFmtId="0" fontId="10" fillId="6" borderId="40" xfId="3" applyFont="1" applyFill="1" applyBorder="1" applyAlignment="1" applyProtection="1">
      <alignment vertical="center" wrapText="1"/>
      <protection hidden="1"/>
    </xf>
    <xf numFmtId="164" fontId="10" fillId="6" borderId="41" xfId="3" applyNumberFormat="1" applyFont="1" applyFill="1" applyBorder="1" applyAlignment="1" applyProtection="1">
      <alignment horizontal="center" vertical="center"/>
      <protection hidden="1"/>
    </xf>
    <xf numFmtId="3" fontId="29" fillId="6" borderId="41" xfId="3" applyNumberFormat="1" applyFont="1" applyFill="1" applyBorder="1" applyAlignment="1" applyProtection="1">
      <alignment vertical="center"/>
      <protection hidden="1"/>
    </xf>
    <xf numFmtId="3" fontId="29" fillId="6" borderId="42" xfId="3" applyNumberFormat="1" applyFont="1" applyFill="1" applyBorder="1" applyAlignment="1" applyProtection="1">
      <alignment vertical="center"/>
      <protection hidden="1"/>
    </xf>
    <xf numFmtId="0" fontId="10" fillId="6" borderId="14" xfId="3" applyFont="1" applyFill="1" applyBorder="1" applyAlignment="1" applyProtection="1">
      <alignment horizontal="center" vertical="center"/>
      <protection hidden="1"/>
    </xf>
    <xf numFmtId="0" fontId="32" fillId="6" borderId="29" xfId="2" applyFont="1" applyFill="1" applyBorder="1" applyAlignment="1" applyProtection="1">
      <alignment horizontal="center" vertical="center"/>
      <protection hidden="1"/>
    </xf>
    <xf numFmtId="0" fontId="32" fillId="6" borderId="15" xfId="2" applyFont="1" applyFill="1" applyBorder="1" applyAlignment="1" applyProtection="1">
      <alignment horizontal="center" vertical="center"/>
      <protection hidden="1"/>
    </xf>
    <xf numFmtId="0" fontId="10" fillId="6" borderId="15" xfId="3" applyFont="1" applyFill="1" applyBorder="1" applyAlignment="1" applyProtection="1">
      <alignment horizontal="center" vertical="center"/>
      <protection hidden="1"/>
    </xf>
    <xf numFmtId="0" fontId="10" fillId="6" borderId="43" xfId="3" applyFont="1" applyFill="1" applyBorder="1" applyAlignment="1" applyProtection="1">
      <alignment vertical="center" wrapText="1"/>
      <protection hidden="1"/>
    </xf>
    <xf numFmtId="164" fontId="10" fillId="6" borderId="44" xfId="3" applyNumberFormat="1" applyFont="1" applyFill="1" applyBorder="1" applyAlignment="1" applyProtection="1">
      <alignment horizontal="center" vertical="center"/>
      <protection hidden="1"/>
    </xf>
    <xf numFmtId="3" fontId="29" fillId="6" borderId="44" xfId="3" applyNumberFormat="1" applyFont="1" applyFill="1" applyBorder="1" applyAlignment="1" applyProtection="1">
      <alignment vertical="center"/>
      <protection hidden="1"/>
    </xf>
    <xf numFmtId="3" fontId="29" fillId="6" borderId="45" xfId="3" applyNumberFormat="1" applyFont="1" applyFill="1" applyBorder="1" applyAlignment="1" applyProtection="1">
      <alignment vertical="center"/>
      <protection hidden="1"/>
    </xf>
    <xf numFmtId="0" fontId="20" fillId="2" borderId="16" xfId="3" applyFont="1" applyFill="1" applyBorder="1" applyAlignment="1" applyProtection="1">
      <alignment horizontal="center" vertical="center"/>
      <protection hidden="1"/>
    </xf>
    <xf numFmtId="0" fontId="20" fillId="2" borderId="31" xfId="3" applyFont="1" applyFill="1" applyBorder="1" applyAlignment="1" applyProtection="1">
      <alignment horizontal="center" vertical="center"/>
      <protection hidden="1"/>
    </xf>
    <xf numFmtId="0" fontId="33" fillId="2" borderId="32" xfId="3" applyFont="1" applyFill="1" applyBorder="1" applyAlignment="1" applyProtection="1">
      <alignment horizontal="center" vertical="center"/>
      <protection hidden="1"/>
    </xf>
    <xf numFmtId="164" fontId="20" fillId="2" borderId="10" xfId="3" applyNumberFormat="1" applyFont="1" applyFill="1" applyBorder="1" applyAlignment="1" applyProtection="1">
      <alignment horizontal="center" vertical="center"/>
      <protection hidden="1"/>
    </xf>
    <xf numFmtId="0" fontId="20" fillId="7" borderId="24" xfId="3" applyFont="1" applyFill="1" applyBorder="1" applyAlignment="1" applyProtection="1">
      <alignment horizontal="center" vertical="center"/>
      <protection hidden="1"/>
    </xf>
    <xf numFmtId="0" fontId="20" fillId="7" borderId="25" xfId="3" applyFont="1" applyFill="1" applyBorder="1" applyAlignment="1" applyProtection="1">
      <alignment horizontal="center" vertical="center"/>
      <protection hidden="1"/>
    </xf>
    <xf numFmtId="0" fontId="20" fillId="7" borderId="46" xfId="3" applyFont="1" applyFill="1" applyBorder="1" applyAlignment="1" applyProtection="1">
      <alignment horizontal="center" vertical="center"/>
      <protection hidden="1"/>
    </xf>
    <xf numFmtId="164" fontId="20" fillId="7" borderId="35" xfId="3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13" xfId="0" applyFont="1" applyBorder="1" applyAlignment="1" applyProtection="1">
      <alignment horizontal="center" vertical="center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hidden="1"/>
    </xf>
    <xf numFmtId="0" fontId="10" fillId="6" borderId="19" xfId="3" applyFont="1" applyFill="1" applyBorder="1" applyAlignment="1" applyProtection="1">
      <alignment horizontal="center" vertical="center"/>
      <protection hidden="1"/>
    </xf>
    <xf numFmtId="0" fontId="20" fillId="2" borderId="24" xfId="3" applyFont="1" applyFill="1" applyBorder="1" applyAlignment="1" applyProtection="1">
      <alignment horizontal="center" vertical="center"/>
      <protection hidden="1"/>
    </xf>
    <xf numFmtId="0" fontId="20" fillId="2" borderId="25" xfId="3" applyFont="1" applyFill="1" applyBorder="1" applyAlignment="1" applyProtection="1">
      <alignment horizontal="center" vertical="center"/>
      <protection hidden="1"/>
    </xf>
    <xf numFmtId="0" fontId="33" fillId="2" borderId="25" xfId="3" applyFont="1" applyFill="1" applyBorder="1" applyAlignment="1" applyProtection="1">
      <alignment horizontal="center" vertical="center"/>
      <protection hidden="1"/>
    </xf>
    <xf numFmtId="0" fontId="20" fillId="2" borderId="34" xfId="3" applyFont="1" applyFill="1" applyBorder="1" applyAlignment="1" applyProtection="1">
      <alignment vertical="center" wrapText="1"/>
      <protection hidden="1"/>
    </xf>
    <xf numFmtId="164" fontId="20" fillId="2" borderId="35" xfId="3" applyNumberFormat="1" applyFont="1" applyFill="1" applyBorder="1" applyAlignment="1" applyProtection="1">
      <alignment horizontal="center" vertical="center"/>
      <protection hidden="1"/>
    </xf>
    <xf numFmtId="3" fontId="28" fillId="2" borderId="35" xfId="3" applyNumberFormat="1" applyFont="1" applyFill="1" applyBorder="1" applyAlignment="1" applyProtection="1">
      <alignment vertical="center"/>
      <protection hidden="1"/>
    </xf>
    <xf numFmtId="3" fontId="28" fillId="2" borderId="36" xfId="3" applyNumberFormat="1" applyFont="1" applyFill="1" applyBorder="1" applyAlignment="1" applyProtection="1">
      <alignment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/>
      <protection hidden="1"/>
    </xf>
    <xf numFmtId="0" fontId="10" fillId="6" borderId="7" xfId="3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3" fontId="40" fillId="9" borderId="81" xfId="0" applyNumberFormat="1" applyFont="1" applyFill="1" applyBorder="1" applyAlignment="1" applyProtection="1">
      <alignment horizontal="center" vertical="center"/>
      <protection hidden="1"/>
    </xf>
    <xf numFmtId="0" fontId="48" fillId="0" borderId="0" xfId="2" applyFont="1" applyFill="1" applyBorder="1" applyAlignment="1">
      <alignment horizontal="left"/>
    </xf>
    <xf numFmtId="0" fontId="21" fillId="0" borderId="0" xfId="2" applyFont="1" applyFill="1" applyBorder="1" applyAlignment="1" applyProtection="1">
      <protection hidden="1"/>
    </xf>
    <xf numFmtId="0" fontId="45" fillId="0" borderId="0" xfId="0" applyFont="1" applyFill="1" applyBorder="1" applyAlignment="1" applyProtection="1">
      <alignment horizontal="right"/>
      <protection hidden="1"/>
    </xf>
    <xf numFmtId="0" fontId="19" fillId="0" borderId="0" xfId="2" applyFont="1" applyFill="1" applyBorder="1" applyAlignment="1" applyProtection="1">
      <alignment horizontal="right"/>
      <protection hidden="1"/>
    </xf>
    <xf numFmtId="0" fontId="18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8" fillId="0" borderId="0" xfId="2" applyFont="1" applyFill="1" applyAlignment="1" applyProtection="1">
      <alignment horizontal="center" vertical="center"/>
      <protection hidden="1"/>
    </xf>
    <xf numFmtId="0" fontId="16" fillId="6" borderId="78" xfId="3" applyFont="1" applyFill="1" applyBorder="1" applyAlignment="1" applyProtection="1">
      <alignment horizontal="center" vertical="center"/>
      <protection hidden="1"/>
    </xf>
    <xf numFmtId="0" fontId="20" fillId="8" borderId="33" xfId="3" applyFont="1" applyFill="1" applyBorder="1" applyAlignment="1" applyProtection="1">
      <alignment vertical="center" wrapText="1"/>
      <protection hidden="1"/>
    </xf>
    <xf numFmtId="3" fontId="28" fillId="8" borderId="32" xfId="3" applyNumberFormat="1" applyFont="1" applyFill="1" applyBorder="1" applyAlignment="1" applyProtection="1">
      <alignment vertical="center"/>
      <protection hidden="1"/>
    </xf>
    <xf numFmtId="3" fontId="28" fillId="8" borderId="61" xfId="3" applyNumberFormat="1" applyFont="1" applyFill="1" applyBorder="1" applyAlignment="1" applyProtection="1">
      <alignment vertical="center"/>
      <protection hidden="1"/>
    </xf>
    <xf numFmtId="0" fontId="20" fillId="2" borderId="26" xfId="3" applyFont="1" applyFill="1" applyBorder="1" applyAlignment="1" applyProtection="1">
      <alignment horizontal="center" vertical="center"/>
      <protection hidden="1"/>
    </xf>
    <xf numFmtId="0" fontId="35" fillId="2" borderId="17" xfId="3" applyFont="1" applyFill="1" applyBorder="1" applyAlignment="1" applyProtection="1">
      <alignment horizontal="center" vertical="center"/>
      <protection hidden="1"/>
    </xf>
    <xf numFmtId="0" fontId="33" fillId="2" borderId="18" xfId="3" applyFont="1" applyFill="1" applyBorder="1" applyAlignment="1" applyProtection="1">
      <alignment horizontal="center" vertical="center"/>
      <protection hidden="1"/>
    </xf>
    <xf numFmtId="164" fontId="20" fillId="2" borderId="11" xfId="3" applyNumberFormat="1" applyFont="1" applyFill="1" applyBorder="1" applyAlignment="1" applyProtection="1">
      <alignment horizontal="center" vertical="center"/>
      <protection hidden="1"/>
    </xf>
    <xf numFmtId="3" fontId="28" fillId="2" borderId="18" xfId="3" applyNumberFormat="1" applyFont="1" applyFill="1" applyBorder="1" applyAlignment="1" applyProtection="1">
      <alignment vertical="center"/>
      <protection hidden="1"/>
    </xf>
    <xf numFmtId="3" fontId="28" fillId="2" borderId="62" xfId="3" applyNumberFormat="1" applyFont="1" applyFill="1" applyBorder="1" applyAlignment="1" applyProtection="1">
      <alignment vertical="center"/>
      <protection hidden="1"/>
    </xf>
    <xf numFmtId="0" fontId="10" fillId="0" borderId="51" xfId="3" applyFont="1" applyFill="1" applyBorder="1" applyAlignment="1" applyProtection="1">
      <alignment vertical="center" wrapText="1"/>
      <protection hidden="1"/>
    </xf>
    <xf numFmtId="164" fontId="10" fillId="0" borderId="52" xfId="3" applyNumberFormat="1" applyFont="1" applyFill="1" applyBorder="1" applyAlignment="1" applyProtection="1">
      <alignment horizontal="center" vertical="center"/>
      <protection hidden="1"/>
    </xf>
    <xf numFmtId="3" fontId="29" fillId="0" borderId="55" xfId="3" applyNumberFormat="1" applyFont="1" applyFill="1" applyBorder="1" applyAlignment="1" applyProtection="1">
      <alignment vertical="center"/>
      <protection hidden="1"/>
    </xf>
    <xf numFmtId="3" fontId="29" fillId="0" borderId="64" xfId="3" applyNumberFormat="1" applyFont="1" applyFill="1" applyBorder="1" applyAlignment="1" applyProtection="1">
      <alignment vertical="center"/>
      <protection hidden="1"/>
    </xf>
    <xf numFmtId="0" fontId="32" fillId="0" borderId="13" xfId="3" applyFont="1" applyFill="1" applyBorder="1" applyAlignment="1" applyProtection="1">
      <alignment horizontal="center" vertical="center"/>
      <protection hidden="1"/>
    </xf>
    <xf numFmtId="164" fontId="10" fillId="0" borderId="38" xfId="3" applyNumberFormat="1" applyFont="1" applyFill="1" applyBorder="1" applyAlignment="1" applyProtection="1">
      <alignment horizontal="center" vertical="center"/>
      <protection hidden="1"/>
    </xf>
    <xf numFmtId="0" fontId="32" fillId="0" borderId="0" xfId="2" applyFont="1" applyFill="1" applyBorder="1" applyAlignment="1" applyProtection="1">
      <alignment horizontal="center" vertical="center"/>
      <protection hidden="1"/>
    </xf>
    <xf numFmtId="0" fontId="20" fillId="7" borderId="22" xfId="3" applyFont="1" applyFill="1" applyBorder="1" applyAlignment="1" applyProtection="1">
      <alignment vertical="center" wrapText="1"/>
      <protection hidden="1"/>
    </xf>
    <xf numFmtId="3" fontId="28" fillId="7" borderId="18" xfId="3" applyNumberFormat="1" applyFont="1" applyFill="1" applyBorder="1" applyAlignment="1" applyProtection="1">
      <alignment vertical="center"/>
      <protection hidden="1"/>
    </xf>
    <xf numFmtId="3" fontId="28" fillId="7" borderId="62" xfId="3" applyNumberFormat="1" applyFont="1" applyFill="1" applyBorder="1" applyAlignment="1" applyProtection="1">
      <alignment vertical="center"/>
      <protection hidden="1"/>
    </xf>
    <xf numFmtId="0" fontId="20" fillId="2" borderId="17" xfId="3" applyFont="1" applyFill="1" applyBorder="1" applyAlignment="1" applyProtection="1">
      <alignment horizontal="center" vertical="center"/>
      <protection hidden="1"/>
    </xf>
    <xf numFmtId="3" fontId="29" fillId="6" borderId="57" xfId="3" applyNumberFormat="1" applyFont="1" applyFill="1" applyBorder="1" applyAlignment="1" applyProtection="1">
      <alignment vertical="center"/>
      <protection hidden="1"/>
    </xf>
    <xf numFmtId="3" fontId="29" fillId="6" borderId="66" xfId="3" applyNumberFormat="1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34" fillId="0" borderId="0" xfId="0" applyFont="1" applyFill="1" applyAlignment="1">
      <alignment vertical="center"/>
    </xf>
    <xf numFmtId="4" fontId="34" fillId="0" borderId="0" xfId="0" applyNumberFormat="1" applyFont="1" applyFill="1" applyAlignment="1">
      <alignment vertical="center"/>
    </xf>
    <xf numFmtId="0" fontId="10" fillId="0" borderId="0" xfId="0" applyFont="1" applyAlignment="1"/>
    <xf numFmtId="0" fontId="37" fillId="0" borderId="79" xfId="0" applyFont="1" applyBorder="1" applyAlignment="1"/>
    <xf numFmtId="0" fontId="52" fillId="0" borderId="79" xfId="0" applyFont="1" applyBorder="1" applyAlignment="1">
      <alignment horizontal="right" wrapText="1"/>
    </xf>
    <xf numFmtId="0" fontId="36" fillId="0" borderId="79" xfId="0" applyFont="1" applyBorder="1" applyAlignment="1"/>
    <xf numFmtId="3" fontId="34" fillId="7" borderId="0" xfId="0" applyNumberFormat="1" applyFont="1" applyFill="1" applyAlignment="1">
      <alignment horizontal="right" vertical="center" indent="1"/>
    </xf>
    <xf numFmtId="0" fontId="34" fillId="7" borderId="0" xfId="0" applyFont="1" applyFill="1" applyAlignment="1">
      <alignment horizontal="center" vertical="center"/>
    </xf>
    <xf numFmtId="4" fontId="53" fillId="7" borderId="0" xfId="0" applyNumberFormat="1" applyFont="1" applyFill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right"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31" fillId="0" borderId="79" xfId="0" applyNumberFormat="1" applyFont="1" applyBorder="1" applyAlignment="1">
      <alignment horizontal="center" vertical="center"/>
    </xf>
    <xf numFmtId="0" fontId="34" fillId="0" borderId="84" xfId="0" applyFont="1" applyFill="1" applyBorder="1" applyAlignment="1">
      <alignment horizontal="left" vertical="top" indent="1"/>
    </xf>
    <xf numFmtId="0" fontId="51" fillId="0" borderId="84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indent="2"/>
    </xf>
    <xf numFmtId="0" fontId="10" fillId="0" borderId="0" xfId="0" applyFont="1" applyFill="1" applyBorder="1" applyAlignment="1">
      <alignment horizontal="left" vertical="top"/>
    </xf>
    <xf numFmtId="3" fontId="29" fillId="0" borderId="58" xfId="3" applyNumberFormat="1" applyFont="1" applyFill="1" applyBorder="1" applyAlignment="1" applyProtection="1">
      <alignment vertical="center"/>
      <protection hidden="1"/>
    </xf>
    <xf numFmtId="3" fontId="29" fillId="0" borderId="67" xfId="3" applyNumberFormat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5" fillId="0" borderId="0" xfId="2" applyFont="1" applyFill="1" applyBorder="1" applyAlignment="1" applyProtection="1">
      <protection hidden="1"/>
    </xf>
    <xf numFmtId="14" fontId="36" fillId="0" borderId="79" xfId="0" applyNumberFormat="1" applyFont="1" applyBorder="1" applyAlignment="1">
      <alignment vertical="center"/>
    </xf>
    <xf numFmtId="14" fontId="36" fillId="0" borderId="0" xfId="0" applyNumberFormat="1" applyFont="1" applyBorder="1" applyAlignment="1">
      <alignment vertical="center"/>
    </xf>
    <xf numFmtId="0" fontId="56" fillId="7" borderId="25" xfId="3" applyFont="1" applyFill="1" applyBorder="1" applyAlignment="1" applyProtection="1">
      <alignment horizontal="center" vertical="center"/>
      <protection hidden="1"/>
    </xf>
    <xf numFmtId="0" fontId="36" fillId="2" borderId="16" xfId="3" applyFont="1" applyFill="1" applyBorder="1" applyAlignment="1" applyProtection="1">
      <alignment horizontal="center" vertical="center"/>
      <protection hidden="1"/>
    </xf>
    <xf numFmtId="0" fontId="36" fillId="2" borderId="31" xfId="2" applyFont="1" applyFill="1" applyBorder="1" applyAlignment="1" applyProtection="1">
      <alignment horizontal="center" vertical="center"/>
      <protection hidden="1"/>
    </xf>
    <xf numFmtId="0" fontId="36" fillId="2" borderId="32" xfId="2" applyFont="1" applyFill="1" applyBorder="1" applyAlignment="1" applyProtection="1">
      <alignment horizontal="center" vertical="center"/>
      <protection hidden="1"/>
    </xf>
    <xf numFmtId="0" fontId="36" fillId="8" borderId="16" xfId="3" applyFont="1" applyFill="1" applyBorder="1" applyAlignment="1" applyProtection="1">
      <alignment horizontal="center" vertical="center"/>
      <protection hidden="1"/>
    </xf>
    <xf numFmtId="0" fontId="36" fillId="8" borderId="31" xfId="2" applyFont="1" applyFill="1" applyBorder="1" applyAlignment="1" applyProtection="1">
      <alignment horizontal="center" vertical="center"/>
      <protection hidden="1"/>
    </xf>
    <xf numFmtId="0" fontId="36" fillId="8" borderId="32" xfId="2" applyFont="1" applyFill="1" applyBorder="1" applyAlignment="1" applyProtection="1">
      <alignment horizontal="center" vertical="center"/>
      <protection hidden="1"/>
    </xf>
    <xf numFmtId="164" fontId="20" fillId="8" borderId="10" xfId="3" applyNumberFormat="1" applyFont="1" applyFill="1" applyBorder="1" applyAlignment="1" applyProtection="1">
      <alignment horizontal="center" vertical="center"/>
      <protection hidden="1"/>
    </xf>
    <xf numFmtId="0" fontId="20" fillId="7" borderId="26" xfId="3" applyFont="1" applyFill="1" applyBorder="1" applyAlignment="1" applyProtection="1">
      <alignment horizontal="center" vertical="center"/>
      <protection hidden="1"/>
    </xf>
    <xf numFmtId="0" fontId="20" fillId="7" borderId="17" xfId="3" applyFont="1" applyFill="1" applyBorder="1" applyAlignment="1" applyProtection="1">
      <alignment horizontal="center" vertical="center"/>
      <protection hidden="1"/>
    </xf>
    <xf numFmtId="0" fontId="20" fillId="7" borderId="18" xfId="3" applyFont="1" applyFill="1" applyBorder="1" applyAlignment="1" applyProtection="1">
      <alignment horizontal="center" vertical="center"/>
      <protection hidden="1"/>
    </xf>
    <xf numFmtId="164" fontId="20" fillId="7" borderId="11" xfId="3" applyNumberFormat="1" applyFont="1" applyFill="1" applyBorder="1" applyAlignment="1" applyProtection="1">
      <alignment horizontal="center" vertical="center"/>
      <protection hidden="1"/>
    </xf>
    <xf numFmtId="0" fontId="56" fillId="0" borderId="13" xfId="3" applyFont="1" applyFill="1" applyBorder="1" applyAlignment="1" applyProtection="1">
      <alignment horizontal="center" vertical="center"/>
      <protection hidden="1"/>
    </xf>
    <xf numFmtId="0" fontId="36" fillId="8" borderId="68" xfId="3" applyFont="1" applyFill="1" applyBorder="1" applyAlignment="1" applyProtection="1">
      <alignment horizontal="center" vertical="center"/>
      <protection hidden="1"/>
    </xf>
    <xf numFmtId="0" fontId="20" fillId="8" borderId="69" xfId="2" applyFont="1" applyFill="1" applyBorder="1" applyAlignment="1" applyProtection="1">
      <alignment horizontal="center" vertical="center"/>
      <protection hidden="1"/>
    </xf>
    <xf numFmtId="0" fontId="36" fillId="8" borderId="70" xfId="2" applyFont="1" applyFill="1" applyBorder="1" applyAlignment="1" applyProtection="1">
      <alignment horizontal="center" vertical="center"/>
      <protection hidden="1"/>
    </xf>
    <xf numFmtId="165" fontId="20" fillId="8" borderId="50" xfId="3" applyNumberFormat="1" applyFont="1" applyFill="1" applyBorder="1" applyAlignment="1" applyProtection="1">
      <alignment horizontal="center" vertical="center"/>
      <protection hidden="1"/>
    </xf>
    <xf numFmtId="0" fontId="20" fillId="8" borderId="68" xfId="3" applyFont="1" applyFill="1" applyBorder="1" applyAlignment="1" applyProtection="1">
      <alignment horizontal="center" vertical="center"/>
      <protection hidden="1"/>
    </xf>
    <xf numFmtId="0" fontId="38" fillId="3" borderId="79" xfId="0" applyFont="1" applyFill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2" fillId="3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65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0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 indent="1"/>
    </xf>
    <xf numFmtId="0" fontId="38" fillId="3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Alignment="1">
      <alignment horizontal="left" textRotation="90"/>
    </xf>
    <xf numFmtId="0" fontId="6" fillId="0" borderId="0" xfId="0" applyFont="1" applyAlignment="1">
      <alignment horizontal="left" textRotation="90"/>
    </xf>
    <xf numFmtId="0" fontId="54" fillId="0" borderId="13" xfId="0" applyFont="1" applyBorder="1" applyAlignment="1">
      <alignment horizontal="center" textRotation="90"/>
    </xf>
    <xf numFmtId="0" fontId="16" fillId="6" borderId="21" xfId="3" applyFont="1" applyFill="1" applyBorder="1" applyAlignment="1" applyProtection="1">
      <alignment horizontal="center"/>
      <protection hidden="1"/>
    </xf>
    <xf numFmtId="0" fontId="3" fillId="6" borderId="20" xfId="2" applyFont="1" applyFill="1" applyBorder="1" applyAlignment="1" applyProtection="1">
      <alignment horizontal="center"/>
      <protection hidden="1"/>
    </xf>
    <xf numFmtId="0" fontId="3" fillId="6" borderId="27" xfId="2" applyFont="1" applyFill="1" applyBorder="1" applyAlignment="1" applyProtection="1">
      <alignment horizontal="center"/>
      <protection hidden="1"/>
    </xf>
    <xf numFmtId="0" fontId="25" fillId="6" borderId="29" xfId="2" applyFont="1" applyFill="1" applyBorder="1" applyAlignment="1" applyProtection="1">
      <alignment horizontal="center" vertical="center"/>
      <protection hidden="1"/>
    </xf>
    <xf numFmtId="0" fontId="25" fillId="6" borderId="15" xfId="2" applyFont="1" applyFill="1" applyBorder="1" applyAlignment="1" applyProtection="1">
      <alignment horizontal="center" vertical="center"/>
      <protection hidden="1"/>
    </xf>
    <xf numFmtId="0" fontId="25" fillId="6" borderId="7" xfId="2" applyFont="1" applyFill="1" applyBorder="1" applyAlignment="1" applyProtection="1">
      <alignment horizontal="center" vertical="center"/>
      <protection hidden="1"/>
    </xf>
    <xf numFmtId="0" fontId="16" fillId="6" borderId="33" xfId="3" applyFont="1" applyFill="1" applyBorder="1" applyAlignment="1" applyProtection="1">
      <alignment horizontal="center" vertical="center"/>
      <protection hidden="1"/>
    </xf>
    <xf numFmtId="0" fontId="16" fillId="6" borderId="61" xfId="3" applyFont="1" applyFill="1" applyBorder="1" applyAlignment="1" applyProtection="1">
      <alignment horizontal="center" vertical="center"/>
      <protection hidden="1"/>
    </xf>
    <xf numFmtId="0" fontId="25" fillId="6" borderId="13" xfId="2" applyFont="1" applyFill="1" applyBorder="1" applyAlignment="1" applyProtection="1">
      <alignment horizontal="center" vertical="center"/>
      <protection hidden="1"/>
    </xf>
    <xf numFmtId="0" fontId="25" fillId="6" borderId="0" xfId="2" applyFont="1" applyFill="1" applyBorder="1" applyAlignment="1" applyProtection="1">
      <alignment horizontal="center" vertical="center"/>
      <protection hidden="1"/>
    </xf>
    <xf numFmtId="0" fontId="25" fillId="6" borderId="3" xfId="2" applyFont="1" applyFill="1" applyBorder="1" applyAlignment="1" applyProtection="1">
      <alignment horizontal="center" vertical="center"/>
      <protection hidden="1"/>
    </xf>
    <xf numFmtId="0" fontId="16" fillId="6" borderId="31" xfId="3" applyFont="1" applyFill="1" applyBorder="1" applyAlignment="1" applyProtection="1">
      <alignment horizontal="center" vertical="center"/>
      <protection hidden="1"/>
    </xf>
    <xf numFmtId="0" fontId="16" fillId="6" borderId="32" xfId="3" applyFont="1" applyFill="1" applyBorder="1" applyAlignment="1" applyProtection="1">
      <alignment horizontal="center" vertical="center"/>
      <protection hidden="1"/>
    </xf>
    <xf numFmtId="0" fontId="16" fillId="6" borderId="1" xfId="3" applyFont="1" applyFill="1" applyBorder="1" applyAlignment="1" applyProtection="1">
      <alignment horizontal="center" vertical="center"/>
      <protection hidden="1"/>
    </xf>
    <xf numFmtId="0" fontId="16" fillId="6" borderId="47" xfId="3" applyFont="1" applyFill="1" applyBorder="1" applyAlignment="1" applyProtection="1">
      <alignment horizontal="center"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49" xfId="3" applyFont="1" applyFill="1" applyBorder="1" applyAlignment="1" applyProtection="1">
      <alignment horizontal="center" vertical="center"/>
      <protection hidden="1"/>
    </xf>
    <xf numFmtId="0" fontId="57" fillId="0" borderId="0" xfId="0" pivotButton="1" applyFont="1"/>
    <xf numFmtId="0" fontId="57" fillId="0" borderId="0" xfId="0" applyFont="1"/>
    <xf numFmtId="0" fontId="57" fillId="0" borderId="0" xfId="0" applyFont="1" applyAlignment="1">
      <alignment horizontal="left"/>
    </xf>
    <xf numFmtId="3" fontId="57" fillId="0" borderId="0" xfId="0" applyNumberFormat="1" applyFont="1"/>
    <xf numFmtId="14" fontId="57" fillId="0" borderId="0" xfId="0" applyNumberFormat="1" applyFont="1"/>
    <xf numFmtId="0" fontId="57" fillId="0" borderId="0" xfId="0" applyFont="1" applyAlignment="1">
      <alignment horizontal="left" indent="1"/>
    </xf>
  </cellXfs>
  <cellStyles count="5">
    <cellStyle name="normal" xfId="3"/>
    <cellStyle name="Normální" xfId="0" builtinId="0"/>
    <cellStyle name="Normální 2" xfId="1"/>
    <cellStyle name="Normální 3" xfId="2"/>
    <cellStyle name="Normální 4" xfId="4"/>
  </cellStyles>
  <dxfs count="115">
    <dxf>
      <font>
        <name val="Calibri"/>
        <scheme val="minor"/>
      </font>
    </dxf>
    <dxf>
      <numFmt numFmtId="3" formatCode="#,##0"/>
    </dxf>
    <dxf>
      <font>
        <name val="Calibri"/>
        <scheme val="minor"/>
      </font>
    </dxf>
    <dxf>
      <numFmt numFmtId="3" formatCode="#,##0"/>
    </dxf>
    <dxf>
      <font>
        <name val="Calibri"/>
        <scheme val="minor"/>
      </font>
    </dxf>
    <dxf>
      <numFmt numFmtId="3" formatCode="#,##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3" formatCode="#,##0"/>
    </dxf>
    <dxf>
      <font>
        <name val="Calibri"/>
        <scheme val="minor"/>
      </font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64" formatCode="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9" formatCode="d/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</dxf>
    <dxf>
      <font>
        <color rgb="FF0000FF"/>
      </font>
      <fill>
        <patternFill>
          <bgColor theme="4" tint="0.79998168889431442"/>
        </patternFill>
      </fill>
      <border>
        <vertical/>
        <horizontal/>
      </border>
    </dxf>
    <dxf>
      <font>
        <color rgb="FF0000FF"/>
      </font>
      <fill>
        <patternFill patternType="lightUp">
          <fgColor rgb="FF0000FF"/>
          <bgColor theme="4" tint="0.79995117038483843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C00000"/>
      </font>
      <fill>
        <patternFill patternType="lightUp">
          <fgColor rgb="FFC00000"/>
          <bgColor theme="5" tint="0.79995117038483843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 patternType="lightUp">
          <fgColor rgb="FF0000FF"/>
        </patternFill>
      </fill>
    </dxf>
    <dxf>
      <fill>
        <patternFill patternType="lightUp">
          <fgColor rgb="FFC00000"/>
        </patternFill>
      </fill>
      <border>
        <bottom style="thin">
          <color theme="0"/>
        </bottom>
      </border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bottom style="thin">
          <color theme="0" tint="-0.24994659260841701"/>
        </bottom>
      </border>
    </dxf>
    <dxf>
      <fill>
        <patternFill>
          <bgColor theme="0" tint="-0.14996795556505021"/>
        </patternFill>
      </fill>
      <border>
        <bottom style="thin">
          <color auto="1"/>
        </bottom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bottom style="medium">
          <color auto="1"/>
        </bottom>
      </border>
    </dxf>
    <dxf>
      <font>
        <b/>
        <i val="0"/>
      </font>
      <fill>
        <patternFill>
          <bgColor theme="0" tint="-4.9989318521683403E-2"/>
        </patternFill>
      </fill>
      <border>
        <right style="thick">
          <color theme="0"/>
        </right>
      </border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thin">
          <color auto="1"/>
        </top>
        <bottom style="medium">
          <color auto="1"/>
        </bottom>
      </border>
    </dxf>
    <dxf>
      <border>
        <vertical style="medium">
          <color theme="0"/>
        </vertical>
      </border>
    </dxf>
    <dxf>
      <border>
        <horizontal style="thin">
          <color theme="0" tint="-0.14996795556505021"/>
        </horizontal>
      </border>
    </dxf>
    <dxf>
      <font>
        <b/>
        <color theme="1"/>
      </font>
      <border>
        <bottom style="thin">
          <color theme="0" tint="-0.34998626667073579"/>
        </bottom>
        <vertical/>
        <horizontal/>
      </border>
    </dxf>
    <dxf>
      <font>
        <sz val="8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BA 01" pivot="0" table="0" count="10">
      <tableStyleElement type="wholeTable" dxfId="114"/>
      <tableStyleElement type="headerRow" dxfId="113"/>
    </tableStyle>
    <tableStyle name="Tab 01" pivot="0" count="1">
      <tableStyleElement type="wholeTable" dxfId="112"/>
    </tableStyle>
    <tableStyle name="Tab 02" table="0" count="10">
      <tableStyleElement type="wholeTable" dxfId="111"/>
      <tableStyleElement type="headerRow" dxfId="110"/>
      <tableStyleElement type="totalRow" dxfId="109"/>
      <tableStyleElement type="firstSubtotalColumn" dxfId="108"/>
      <tableStyleElement type="firstSubtotalRow" dxfId="107"/>
      <tableStyleElement type="secondSubtotalRow" dxfId="106"/>
      <tableStyleElement type="thirdSubtotalRow" dxfId="105"/>
      <tableStyleElement type="firstRowSubheading" dxfId="104"/>
      <tableStyleElement type="secondRowSubheading" dxfId="103"/>
      <tableStyleElement type="thirdRowSubheading" dxfId="10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FF9999"/>
      <rgbColor rgb="0066FFFF"/>
      <rgbColor rgb="00CC0000"/>
      <rgbColor rgb="00669900"/>
      <rgbColor rgb="00000080"/>
      <rgbColor rgb="00808000"/>
      <rgbColor rgb="00FF66FF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99FF"/>
      <rgbColor rgb="00CCFFFF"/>
      <rgbColor rgb="00CCFFCC"/>
      <rgbColor rgb="00FFFF99"/>
      <rgbColor rgb="00CCCCFF"/>
      <rgbColor rgb="00FFCCCC"/>
      <rgbColor rgb="00DFBFFF"/>
      <rgbColor rgb="00FFCC99"/>
      <rgbColor rgb="006699FF"/>
      <rgbColor rgb="0033CCCC"/>
      <rgbColor rgb="00FFCC00"/>
      <rgbColor rgb="00FF9966"/>
      <rgbColor rgb="00F6601E"/>
      <rgbColor rgb="00996633"/>
      <rgbColor rgb="00CC3399"/>
      <rgbColor rgb="00C0C0C0"/>
      <rgbColor rgb="0000628A"/>
      <rgbColor rgb="0099CC00"/>
      <rgbColor rgb="00008000"/>
      <rgbColor rgb="00003300"/>
      <rgbColor rgb="00800000"/>
      <rgbColor rgb="00CC99FF"/>
      <rgbColor rgb="00990099"/>
      <rgbColor rgb="004D4D4D"/>
    </indexedColors>
    <mruColors>
      <color rgb="FF0000FF"/>
      <color rgb="FFFFE38B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0" tint="-0.14999847407452621"/>
              <bgColor theme="0" tint="-0.149998474074526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 tint="-0.249977111117893"/>
              <bgColor theme="0" tint="-0.249977111117893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theme="0"/>
              <bgColor theme="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BA 0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6305549</xdr:colOff>
      <xdr:row>13</xdr:row>
      <xdr:rowOff>161923</xdr:rowOff>
    </xdr:from>
    <xdr:to>
      <xdr:col>8</xdr:col>
      <xdr:colOff>134290</xdr:colOff>
      <xdr:row>23</xdr:row>
      <xdr:rowOff>62612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49" y="2562223"/>
          <a:ext cx="3906191" cy="200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4448175</xdr:colOff>
      <xdr:row>16</xdr:row>
      <xdr:rowOff>257175</xdr:rowOff>
    </xdr:from>
    <xdr:to>
      <xdr:col>4</xdr:col>
      <xdr:colOff>152400</xdr:colOff>
      <xdr:row>19</xdr:row>
      <xdr:rowOff>66675</xdr:rowOff>
    </xdr:to>
    <xdr:cxnSp macro="">
      <xdr:nvCxnSpPr>
        <xdr:cNvPr id="3" name="Přímá spojnice se šipkou 2"/>
        <xdr:cNvCxnSpPr/>
      </xdr:nvCxnSpPr>
      <xdr:spPr>
        <a:xfrm>
          <a:off x="4562475" y="3143250"/>
          <a:ext cx="3343275" cy="45720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5934075</xdr:colOff>
      <xdr:row>14</xdr:row>
      <xdr:rowOff>95250</xdr:rowOff>
    </xdr:from>
    <xdr:to>
      <xdr:col>1</xdr:col>
      <xdr:colOff>6315075</xdr:colOff>
      <xdr:row>15</xdr:row>
      <xdr:rowOff>76200</xdr:rowOff>
    </xdr:to>
    <xdr:cxnSp macro="">
      <xdr:nvCxnSpPr>
        <xdr:cNvPr id="4" name="Přímá spojnice se šipkou 3"/>
        <xdr:cNvCxnSpPr/>
      </xdr:nvCxnSpPr>
      <xdr:spPr>
        <a:xfrm>
          <a:off x="6048375" y="2657475"/>
          <a:ext cx="381000" cy="1428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106</xdr:row>
      <xdr:rowOff>142875</xdr:rowOff>
    </xdr:from>
    <xdr:to>
      <xdr:col>9</xdr:col>
      <xdr:colOff>18902</xdr:colOff>
      <xdr:row>111</xdr:row>
      <xdr:rowOff>66583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19050000"/>
          <a:ext cx="1180952" cy="73333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3790950</xdr:colOff>
      <xdr:row>109</xdr:row>
      <xdr:rowOff>95250</xdr:rowOff>
    </xdr:from>
    <xdr:to>
      <xdr:col>1</xdr:col>
      <xdr:colOff>4914760</xdr:colOff>
      <xdr:row>114</xdr:row>
      <xdr:rowOff>76101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0" y="19488150"/>
          <a:ext cx="1123810" cy="7904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0</xdr:colOff>
      <xdr:row>22</xdr:row>
      <xdr:rowOff>114300</xdr:rowOff>
    </xdr:from>
    <xdr:to>
      <xdr:col>4</xdr:col>
      <xdr:colOff>161925</xdr:colOff>
      <xdr:row>25</xdr:row>
      <xdr:rowOff>171451</xdr:rowOff>
    </xdr:to>
    <xdr:cxnSp macro="">
      <xdr:nvCxnSpPr>
        <xdr:cNvPr id="7" name="Přímá spojnice se šipkou 6"/>
        <xdr:cNvCxnSpPr/>
      </xdr:nvCxnSpPr>
      <xdr:spPr>
        <a:xfrm flipV="1">
          <a:off x="6534150" y="4457700"/>
          <a:ext cx="1381125" cy="704851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5238750</xdr:colOff>
      <xdr:row>19</xdr:row>
      <xdr:rowOff>190500</xdr:rowOff>
    </xdr:from>
    <xdr:to>
      <xdr:col>3</xdr:col>
      <xdr:colOff>466725</xdr:colOff>
      <xdr:row>20</xdr:row>
      <xdr:rowOff>85725</xdr:rowOff>
    </xdr:to>
    <xdr:cxnSp macro="">
      <xdr:nvCxnSpPr>
        <xdr:cNvPr id="8" name="Přímá spojnice se šipkou 7"/>
        <xdr:cNvCxnSpPr/>
      </xdr:nvCxnSpPr>
      <xdr:spPr>
        <a:xfrm>
          <a:off x="5353050" y="3724275"/>
          <a:ext cx="2257425" cy="2190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1657350</xdr:colOff>
      <xdr:row>21</xdr:row>
      <xdr:rowOff>76200</xdr:rowOff>
    </xdr:from>
    <xdr:to>
      <xdr:col>3</xdr:col>
      <xdr:colOff>485775</xdr:colOff>
      <xdr:row>22</xdr:row>
      <xdr:rowOff>95251</xdr:rowOff>
    </xdr:to>
    <xdr:cxnSp macro="">
      <xdr:nvCxnSpPr>
        <xdr:cNvPr id="9" name="Přímá spojnice se šipkou 8"/>
        <xdr:cNvCxnSpPr/>
      </xdr:nvCxnSpPr>
      <xdr:spPr>
        <a:xfrm flipV="1">
          <a:off x="1771650" y="4257675"/>
          <a:ext cx="5857875" cy="180976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2609850</xdr:colOff>
      <xdr:row>32</xdr:row>
      <xdr:rowOff>76200</xdr:rowOff>
    </xdr:from>
    <xdr:to>
      <xdr:col>7</xdr:col>
      <xdr:colOff>106286</xdr:colOff>
      <xdr:row>37</xdr:row>
      <xdr:rowOff>436575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4150" y="6562725"/>
          <a:ext cx="6964286" cy="1170000"/>
        </a:xfrm>
        <a:prstGeom prst="rect">
          <a:avLst/>
        </a:prstGeom>
      </xdr:spPr>
    </xdr:pic>
    <xdr:clientData/>
  </xdr:twoCellAnchor>
  <xdr:twoCellAnchor>
    <xdr:from>
      <xdr:col>1</xdr:col>
      <xdr:colOff>6276976</xdr:colOff>
      <xdr:row>86</xdr:row>
      <xdr:rowOff>57150</xdr:rowOff>
    </xdr:from>
    <xdr:to>
      <xdr:col>8</xdr:col>
      <xdr:colOff>105717</xdr:colOff>
      <xdr:row>94</xdr:row>
      <xdr:rowOff>148416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91276" y="15725775"/>
          <a:ext cx="3906191" cy="1386666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91</xdr:row>
      <xdr:rowOff>152400</xdr:rowOff>
    </xdr:from>
    <xdr:to>
      <xdr:col>1</xdr:col>
      <xdr:colOff>2992409</xdr:colOff>
      <xdr:row>94</xdr:row>
      <xdr:rowOff>149482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" y="16630650"/>
          <a:ext cx="2773334" cy="482857"/>
        </a:xfrm>
        <a:prstGeom prst="rect">
          <a:avLst/>
        </a:prstGeom>
      </xdr:spPr>
    </xdr:pic>
    <xdr:clientData/>
  </xdr:twoCellAnchor>
  <xdr:twoCellAnchor>
    <xdr:from>
      <xdr:col>1</xdr:col>
      <xdr:colOff>5705475</xdr:colOff>
      <xdr:row>88</xdr:row>
      <xdr:rowOff>85725</xdr:rowOff>
    </xdr:from>
    <xdr:to>
      <xdr:col>1</xdr:col>
      <xdr:colOff>6267450</xdr:colOff>
      <xdr:row>88</xdr:row>
      <xdr:rowOff>114300</xdr:rowOff>
    </xdr:to>
    <xdr:cxnSp macro="">
      <xdr:nvCxnSpPr>
        <xdr:cNvPr id="13" name="Přímá spojnice se šipkou 12"/>
        <xdr:cNvCxnSpPr/>
      </xdr:nvCxnSpPr>
      <xdr:spPr>
        <a:xfrm>
          <a:off x="5819775" y="16078200"/>
          <a:ext cx="561975" cy="285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92</xdr:row>
      <xdr:rowOff>19050</xdr:rowOff>
    </xdr:from>
    <xdr:to>
      <xdr:col>1</xdr:col>
      <xdr:colOff>2047875</xdr:colOff>
      <xdr:row>94</xdr:row>
      <xdr:rowOff>9525</xdr:rowOff>
    </xdr:to>
    <xdr:cxnSp macro="">
      <xdr:nvCxnSpPr>
        <xdr:cNvPr id="14" name="Přímá spojnice se šipkou 13"/>
        <xdr:cNvCxnSpPr/>
      </xdr:nvCxnSpPr>
      <xdr:spPr>
        <a:xfrm>
          <a:off x="1504950" y="16659225"/>
          <a:ext cx="657225" cy="31432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3</xdr:col>
      <xdr:colOff>559800</xdr:colOff>
      <xdr:row>3</xdr:row>
      <xdr:rowOff>63750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výkaz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kaz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525"/>
              <a:ext cx="238860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85725</xdr:colOff>
      <xdr:row>0</xdr:row>
      <xdr:rowOff>0</xdr:rowOff>
    </xdr:from>
    <xdr:to>
      <xdr:col>10</xdr:col>
      <xdr:colOff>203475</xdr:colOff>
      <xdr:row>3</xdr:row>
      <xdr:rowOff>54225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čás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ás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09950" y="0"/>
              <a:ext cx="316575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chance/AppData/Local/Microsoft/Windows/Temporary%20Internet%20Files/Content.Outlook/CJKJO33J/0.%20MASTER%20DATA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VÝKAZ ZZ"/>
      <sheetName val="AKTIVA"/>
      <sheetName val="PASIVA"/>
      <sheetName val="pivot"/>
      <sheetName val="ucty_synt"/>
      <sheetName val="řádky R"/>
      <sheetName val="řádky V"/>
      <sheetName val="dates"/>
    </sheetNames>
    <sheetDataSet>
      <sheetData sheetId="0"/>
      <sheetData sheetId="1"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uchance" refreshedDate="41564.869282060186" createdVersion="4" refreshedVersion="4" minRefreshableVersion="3" recordCount="11">
  <cacheSource type="worksheet">
    <worksheetSource name="Tabulka1"/>
  </cacheSource>
  <cacheFields count="24">
    <cacheField name="zdroj" numFmtId="0">
      <sharedItems containsNonDate="0" containsString="0" containsBlank="1"/>
    </cacheField>
    <cacheField name="datum" numFmtId="14">
      <sharedItems containsNonDate="0" containsDate="1" containsString="0" containsBlank="1" minDate="2011-12-31T00:00:00" maxDate="2013-01-01T00:00:00" count="3">
        <m/>
        <d v="2011-12-31T00:00:00" u="1"/>
        <d v="2012-12-31T00:00:00" u="1"/>
      </sharedItems>
    </cacheField>
    <cacheField name="ucet" numFmtId="0">
      <sharedItems containsNonDate="0" containsString="0" containsBlank="1"/>
    </cacheField>
    <cacheField name="ucet_an_nazev" numFmtId="0">
      <sharedItems containsNonDate="0" containsString="0" containsBlank="1"/>
    </cacheField>
    <cacheField name="pocatecni zust" numFmtId="3">
      <sharedItems containsNonDate="0" containsString="0" containsBlank="1"/>
    </cacheField>
    <cacheField name="obrat MD" numFmtId="3">
      <sharedItems containsNonDate="0" containsString="0" containsBlank="1"/>
    </cacheField>
    <cacheField name="obrat D" numFmtId="3">
      <sharedItems containsNonDate="0" containsString="0" containsBlank="1"/>
    </cacheField>
    <cacheField name="zustatek" numFmtId="4">
      <sharedItems containsNonDate="0" containsString="0" containsBlank="1"/>
    </cacheField>
    <cacheField name="ucet_an_cislo_popis" numFmtId="164">
      <sharedItems count="796">
        <s v=" "/>
        <s v="42000 PoøízeníI HDM" u="1"/>
        <s v="345100 Spotøební daò-LTO" u="1"/>
        <s v="521070 OON" u="1"/>
        <s v="548100 Ostatní provozní náklady" u="1"/>
        <s v="558000 OPRAVNA POLOZKA P.KLABOUCH" u="1"/>
        <s v="601180 Tržby za výrobky Mubea HZP" u="1"/>
        <s v="542112 Prodaný materiál - režijní materiál" u="1"/>
        <s v="388300 Doh.účty aktivní - skupina" u="1"/>
        <s v="613112 Změna stavu výrobků - příjem na sklad - kolag n/e" u="1"/>
        <s v="372300 Závazky z prodeje podniku" u="1"/>
        <s v="502002 Spotøeba vody" u="1"/>
        <s v="548611 Ostatní provozní náklady - nevydodaný zákl. mater" u="1"/>
        <s v="22130 Samostatné movité věci a soubory movitých věcí OS3" u="1"/>
        <s v="502300 Spotřeba tepla" u="1"/>
        <s v="601200 Tržby za polotovary" u="1"/>
        <s v="321212 Dodavatelé zahr.Bünde 2012" u="1"/>
        <s v="501507 Spotøeba PHM SKODA 2C73557 naf" u="1"/>
        <s v="343999 ?" u="1"/>
        <s v="211300 Pokladna CHF" u="1"/>
        <s v="563414 Kurzové ztráty - obaly" u="1"/>
        <s v="335400 Pohledávky za zaměstnanci - stravování" u="1"/>
        <s v="551200 Odpis daòový HDM 2.skup." u="1"/>
        <s v="191130 Opravná položka k materiálu - ND" u="1"/>
        <s v="521261 Mzdové náklady - odměna vedoucího" u="1"/>
        <s v="123100 Výrobky" u="1"/>
        <s v="518010 Drobný nehmotný majetek" u="1"/>
        <s v="548200 Ostatní provozní náklady" u="1"/>
        <s v="574100 Tvorba/zúčtování finančních rezerv - kurzové ztrát" u="1"/>
        <s v="549213 Manka a škody - náhradní díly" u="1"/>
        <s v="542613 Prodaný materiál - náhradní díly - sklad" u="1"/>
        <s v="542900 Rozpuštìní nákladù na prodej" u="1"/>
        <s v="221841 Bank. účet - RB CZK VCZ 1042008726/5500" u="1"/>
        <s v="211000 Pokladna tuzemská" u="1"/>
        <s v="454200 Rezerva na kurzové ztráty - pohledávky/závazky" u="1"/>
        <s v="321112 Dodavatelé tuzemsko 2012" u="1"/>
        <s v="549200 Manka a škody - rozdíly z inventur" u="1"/>
        <s v="335100 Provozní zálohy zamìstnancù" u="1"/>
        <s v="112400 Materiál na skladě -obaly a pomocný výr.materiál" u="1"/>
        <s v="331200 Zaměstnanci - platby na účet" u="1"/>
        <s v="321211 Dodavatelé zahr.Bünde 2011" u="1"/>
        <s v="315200 Srážková daò Bünde" u="1"/>
        <s v="601100 Tržby za vlastní výrobky" u="1"/>
        <s v="601170 Tržby za výrobky Mikrona" u="1"/>
        <s v="613111 Změna stavu výrobků - příjem na sklad - plasty" u="1"/>
        <s v="231812 Krátkodové bankovní úvěry UCB VCZ EUR" u="1"/>
        <s v="518100 Služby - reklama, inzerce. PR" u="1"/>
        <s v="41100 Pořízení dl. nehmotného majetku" u="1"/>
        <s v="602200 Tržby za služby - obědy zaměstancům" u="1"/>
        <s v="321830 Závazky - ocenění  - skupina" u="1"/>
        <s v="542300 Prodaný materiál" u="1"/>
        <s v="501400 Spotøeba mazadel a olejù údržb" u="1"/>
        <s v="501506 Spotøeba PHM MERC.1C35568 naft" u="1"/>
        <s v="668100 Ostatní finanční výnosy - haléřové vyrovnání" u="1"/>
        <s v="595100 Daň z příjmu - srážková daň placená v zahraničí" u="1"/>
        <s v="518410 Poštovné" u="1"/>
        <s v="111400 Pořízení materiálu - obaly a pom.výr.materiál" u="1"/>
        <s v="132900 Zboží na skladě - Incoterms adustment" u="1"/>
        <s v="601600 Tržby za výrobky ostatní tuzem" u="1"/>
        <s v="604110 Tržby za zboží - bonus zákazníkům" u="1"/>
        <s v="549142 Likvidace - zboží ostatní" u="1"/>
        <s v="112111 Rozdíly z inventur u materiálu na skladě - manko" u="1"/>
        <s v="521030 Mzdové pøíplatky" u="1"/>
        <s v="518746 Školení kalírna" u="1"/>
        <s v="559240 Tvorba/zúčtování opravných položek - zboží" u="1"/>
        <s v="511900 Opravy a udržování - ostatní" u="1"/>
        <s v="122100 Polotovary" u="1"/>
        <s v="663413 Kurzové zisky - náhradní díly" u="1"/>
        <s v="518230 Služby - předtisková příprava" u="1"/>
        <s v="602100 Tržby za služby - práce ve mzdě" u="1"/>
        <s v="518350 Ostatní nájem strojù a náøadí" u="1"/>
        <s v="421000 Zákonný rezervní fond" u="1"/>
        <s v="22100 HDM stroje,pøístroje 1.skup." u="1"/>
        <s v="111990 Pořízení materiálu - Dopravné" u="1"/>
        <s v="192100 Opravná položka k nedokončené výrobě" u="1"/>
        <s v="111500 Pořízení materiálu - základní - granulát" u="1"/>
        <s v="112190 Odchylka k mat. na skladě" u="1"/>
        <s v="335200 Pùjèka zamìstnanci" u="1"/>
        <s v="14200 Oc.práva-APERTUM-ZB.HOSP." u="1"/>
        <s v="122900 Polotovary - Incoterms adjustment" u="1"/>
        <s v="82130 Oprávky k sam. movitým věcem a soub mov. věcí OS3" u="1"/>
        <s v="119500 Materiál na cestě - granulát" u="1"/>
        <s v="601240 Tržby za výrobky Kern-Liebers" u="1"/>
        <s v="501201 Spotřeba náhradních dílů - sklad" u="1"/>
        <s v="112500 Materiál na skladě - základní materiál granulát" u="1"/>
        <s v="602001 Tržby za služby tuzemské" u="1"/>
        <s v="501060 Spotøeba LTO" u="1"/>
        <s v="563411 Kurzové ztráty - základní materiál" u="1"/>
        <s v="459310 Rezerva na daň z příjmu - odložená daň" u="1"/>
        <s v="518420 Poplatky za internet" u="1"/>
        <s v="644100 Smluvní pokuty a penále" u="1"/>
        <s v="663100 Kurzové zisky" u="1"/>
        <s v="343280 Pøenos daòové povinnosti.20% p" u="1"/>
        <s v="518811 Služby práce ve mzdě - plastic" u="1"/>
        <s v="213900 Ceniny - kolky 100Kč" u="1"/>
        <s v="112511 Rozdíly z inventur u materiálu na skladě - granulá" u="1"/>
        <s v="373200 Závazky z pevných termínovaných operací" u="1"/>
        <s v="648300 Haléøové vyrovnání" u="1"/>
        <s v="612300 Změna stavu polotovarů - VZORKY" u="1"/>
        <s v="554000 Rezerva na nevyèerpanou dovole" u="1"/>
        <s v="667100 Výnosy z derivátových operací" u="1"/>
        <s v="191150 Opravná položka k materiálu - granulát" u="1"/>
        <s v="459900 Ostatní rezervy - ostatní" u="1"/>
        <s v="112100 Materiál na skladě - základní materiál" u="1"/>
        <s v="231863 Krátkodové bankovní úvěry ČSOB VCZ USD" u="1"/>
        <s v="384000 Výnosy pøíštích období" u="1"/>
        <s v="421100 Zákonný rezervní fond" u="1"/>
        <s v="22200 HDM stroje,pøístroje 2.skup." u="1"/>
        <s v="331000 Zamìstnanci" u="1"/>
        <s v="351100 Pohledávky - ovládající a řídící osoba" u="1"/>
        <s v="521223 Mzdové náklady - příplatky ostatní" u="1"/>
        <s v="321980 Závazky - investice (ne skupina)" u="1"/>
        <s v="518060 Služby - ochrana objektu" u="1"/>
        <s v="511500 Opravy a kontroly mìøidel" u="1"/>
        <s v="641100 Tržby z prodeje dl. nehm. a hm. majetku" u="1"/>
        <s v="511300 Opravy a udržování - inventář" u="1"/>
        <s v="563100 Kurzové ztráty" u="1"/>
        <s v="559300 Tvorba/zúčtování opravných položek - dl. majetek" u="1"/>
        <s v="518031 Leasing - operativní" u="1"/>
        <s v="111240 Pořízení materiálu - reklamní materiál" u="1"/>
        <s v="521850 Mzdové náklady - odměny ostatní" u="1"/>
        <s v="112240 Materiál na skladě - reklamní materiál" u="1"/>
        <s v="642100 Tržby za kovový odpad" u="1"/>
        <s v="501920 Spotøeba úklidových prostøedkù" u="1"/>
        <s v="383100 Výdaje příštích období" u="1"/>
        <s v="385100 Příjmy příštích období" u="1"/>
        <s v="22300 HDM stroje,pøístroje 3.skup." u="1"/>
        <s v="563900 Kurzové ztráty - ocenění - zúčtovací vztahy" u="1"/>
        <s v="112212 Rozdíly z inventur u rež.materiálu na skl. - přeby" u="1"/>
        <s v="381300 Náklady příštích období - pojištění" u="1"/>
        <s v="501101 Spotřeba základního materiálu - sklad" u="1"/>
        <s v="343430 DPH % Vývoz zboží tøetí zemì" u="1"/>
        <s v="559214 Tvorba/zúčtování opravných položek - obaly" u="1"/>
        <s v="501502 Spotøeba PHM VW CADDY 5C90203" u="1"/>
        <s v="501501 Spotřeba materiálu - granulát - sklad" u="1"/>
        <s v="663343 Kurzové zisky - DPH" u="1"/>
        <s v="512100 Cestovné tuzemsko - do limitu" u="1"/>
        <s v="601230 Tržby za výrobky Aisin" u="1"/>
        <s v="601400 Tržby za výrobky Mubea" u="1"/>
        <s v="261100 Peníze na cestě - tuzemsko" u="1"/>
        <s v="568100 Bankovní poplatky" u="1"/>
        <s v="29000 Nástroj Matador" u="1"/>
        <s v="521220 Mzdové náklady - příplatek za směny" u="1"/>
        <s v="513800 Obèerstvení,reprezentace" u="1"/>
        <s v="527500 Životní pojištìní" u="1"/>
        <s v="501310 Spotřeba materiálu - služební vozy" u="1"/>
        <s v="601210 TRZBY ZA VYROBKY IWIS" u="1"/>
        <s v="501940 Spotøeba nákl.na poøízení mate" u="1"/>
        <s v="602360 Tržby za služby - pojistné" u="1"/>
        <s v="111900 Pořízení materiálu - drobný majetek" u="1"/>
        <s v="112900 Materiál na skladě - drobný majetek" u="1"/>
        <s v="459300 Rezerva na daň z příjmu" u="1"/>
        <s v="335300 Pohledávky za zaměstnanci - ostatní pohledávky" u="1"/>
        <s v="311300 Odbìratelé zahr. ostatní" u="1"/>
        <s v="81120 Oprávky ke budovám - OS5,6" u="1"/>
        <s v="518015 Služby - úpravy softwaru, programování" u="1"/>
        <s v="315888 Interní" u="1"/>
        <s v="112199 Odchylky ze zmeny transferových cen" u="1"/>
        <s v="518700 Školení" u="1"/>
        <s v="518800 Služby - přefakturace v rámci sk.VSC" u="1"/>
        <s v="613116 Změna stavu výrobků - příjem na sklad - Coffi" u="1"/>
        <s v="549220 Manka a škody - polotovary" u="1"/>
        <s v="122210 Neobrátkové zásoby NCO - plastic" u="1"/>
        <s v="521100 Mzdové náklady - základní mzda" u="1"/>
        <s v="324910 Přijaté zálohy - Incoterms adjustment" u="1"/>
        <s v="92100 Opravná položka k dl. hmotnému majetku" u="1"/>
        <s v="559211 Tvorba/zúčtování opravných položek - základní mat." u="1"/>
        <s v="191110 Opravná položka k materiálu - základní materiál" u="1"/>
        <s v="345100 Ostatní nepřímé daně a poplatky - daň z nemovitost" u="1"/>
        <s v="601190 Tržby za výrobky T.RAD" u="1"/>
        <s v="343010 UZP 20%-plnìní v tuzemsku" u="1"/>
        <s v="343020 UZP 14%-plnìní v tuzemsku" u="1"/>
        <s v="343030 PZP 20%-plnìní v tuzemsku" u="1"/>
        <s v="343040 PZP 14%-plnìní v tuzemsku" u="1"/>
        <s v="642112 Tržby z prodeje materiálu - režijní materiál" u="1"/>
        <s v="112190 Ostatní materiál" u="1"/>
        <s v="511100 Opravy strojù" u="1"/>
        <s v="642114 Tržby z prodeje materiálu - obaly" u="1"/>
        <s v="119200 Materiál na cestě - režijní" u="1"/>
        <s v="642300 Tržby za prodej ostatní" u="1"/>
        <s v="122200 Odchylky z kalk. NCO/VSA" u="1"/>
        <s v="123200 Odchylky z kalk. NCO/VSA" u="1"/>
        <s v="601200 TRZBY ZA VYROBKY SKODA AUTO" u="1"/>
        <s v="112120 OBP" u="1"/>
        <s v="73100 Oprávky k softwaru" u="1"/>
        <s v="111200 Pořízení materiálu - režijní" u="1"/>
        <s v="395800 Prodej podniku - zúčtovací účet" u="1"/>
        <s v="521260 Mzdové náklady - odměna ředitele" u="1"/>
        <s v="389020 Doh.účty pasivní - IŽP (původně salary bonus)" u="1"/>
        <s v="548100 Pojistné majetku,vozidel" u="1"/>
        <s v="112230 Neobrátkové zásoby NCO - kolagen" u="1"/>
        <s v="648500 Ostatní provozní výnosy - prodej odpadů" u="1"/>
        <s v="311300 Pohledávky - skupina" u="1"/>
        <s v="518946 Ostatní služby kalírna" u="1"/>
        <s v="501950 Rozpuštìní nákladù na poøízení" u="1"/>
        <s v="343100 DPH - vstup" u="1"/>
        <s v="311930 Pohledávky - Incoterms adjustment - skupina" u="1"/>
        <s v="518310 Nájem plynových lahví" u="1"/>
        <s v="559220 Tvorba/zúčtování opravných položek - polotovary" u="1"/>
        <s v="389060 Doh.účty pasivní - bonus zákazníkům" u="1"/>
        <s v="389061 Doh.účty pasivní - bonus zákazníkům" u="1"/>
        <s v="343299 DPH - dobropisy" u="1"/>
        <s v="557100 Zúčtování oprávky k oceňovacímu rozdílu" u="1"/>
        <s v="191140 Opravná položka k materiálu - obaly" u="1"/>
        <s v="391210 Opravná položka k pohledávkám - obecná world trh" u="1"/>
        <s v="119400 Materiál na cestě - obaly a pom.výr.materiál" u="1"/>
        <s v="602340 Tržby za služby - provize" u="1"/>
        <s v="112900 Náklady související s poø.mate" u="1"/>
        <s v="112420 Neobrátkové zásoby GAM bal.mat." u="1"/>
        <s v="521800 Mzdové náklady - dohody a ostatní" u="1"/>
        <s v="528100 Ost. sociální náklady - přísp. na stravné zaměstna" u="1"/>
        <s v="132100 Zboží na skladě" u="1"/>
        <s v="333000 Ostatní závazky zamìstnavatel" u="1"/>
        <s v="518140 Služby - právní zastupování firmy" u="1"/>
        <s v="111100 Pořízení materiálu - základní" u="1"/>
        <s v="518600 Služby - z minulého období DU" u="1"/>
        <s v="123112 Rozdíly z inventur k výrobkům - přebytky" u="1"/>
        <s v="343380 Pøenos daòové povinnosti 20% o" u="1"/>
        <s v="221812 Bank. účet - UCB-CZ VCZ EUR 6132243060/2700" u="1"/>
        <s v="314001 Záloha el.energie" u="1"/>
        <s v="389040 Doh.účty pasivní - audit a daňové poradenství" u="1"/>
        <s v="343000 DPH - poèáteèní stav" u="1"/>
        <s v="549111 Likvidace - základní materiál" u="1"/>
        <s v="527800 Ostatní náklady nedaòové" u="1"/>
        <s v="559000 Opravná položka" u="1"/>
        <s v="345101 Spotøební daò-technický benzín" u="1"/>
        <s v="373230 Závazky z pevných termínovaných operací skupina" u="1"/>
        <s v="549150 Likvidace - granulát" u="1"/>
        <s v="324300 Přijaté zálohy - skupina" u="1"/>
        <s v="541100 Zùstaková hodnota HDM-prodej" u="1"/>
        <s v="518900 Služby - nezahrnované do základu daně" u="1"/>
        <s v="231861 Krátkodové bankovní úvěry ČSOB VCZ CZK" u="1"/>
        <s v="518070 Služby - odpady" u="1"/>
        <s v="431000 Hosp.výsledek ve schvalov.øíze" u="1"/>
        <s v="521300 Mzdové náklady - BONUS zaměstnancům" u="1"/>
        <s v="601220 Tržby za výrobky Tiberina" u="1"/>
        <s v="527100 Lékaøské prohlídky" u="1"/>
        <s v="546800 Nedobytná pohledávka nedaòová" u="1"/>
        <s v="562200 Úroky placené - skupina" u="1"/>
        <s v="559230 Tvorba/zúčtování opravných položek - výrobky" u="1"/>
        <s v="518320 Nájem haly fa Meyer" u="1"/>
        <s v="381200 Náklady příštích období - leasing" u="1"/>
        <s v="648000 Ostatní provozní výnosy" u="1"/>
        <s v="122111 Rozdíly z inventur polotovarů - manko" u="1"/>
        <s v="261000 Peníze na cestì" u="1"/>
        <s v="211100 Pokladna tuzemsko" u="1"/>
        <s v="132111 Rozdíly z inventur ke zboží na skladě - manko" u="1"/>
        <s v="502200 Spotřeba vody" u="1"/>
        <s v="611000 Zmìna stavu nedokonèené výroby" u="1"/>
        <s v="538100 Kolkové známky" u="1"/>
        <s v="648100 Náhrada od pojišovny" u="1"/>
        <s v="14400 Oc.práva-UNIGRAPHICS konstr.s." u="1"/>
        <s v="532100 Daň z nemovitostí" u="1"/>
        <s v="98100 Oprávky ke oceňovacímu rozdílu - prodej podniku" u="1"/>
        <s v="66000 Dlouhodobý finanèní majetek" u="1"/>
        <s v="613100 Změna stavu výrobků - příjem na sklad" u="1"/>
        <s v="381500 Náklady příštích období - IŽP" u="1"/>
        <s v="411000 Základní kapitál" u="1"/>
        <s v="559213 Tvorba/zúčtování opravných položek - náhradní díly" u="1"/>
        <s v="321200 Závazky - zahraničí" u="1"/>
        <s v="548800 Provozní náklady nedaòové" u="1"/>
        <s v="221811 Bank. účet - UCB-CZ VCZ CZK 6132243001/2700" u="1"/>
        <s v="511300 Opravy ostatní" u="1"/>
        <s v="213310 Ceniny - dárkové šeky 100Kč" u="1"/>
        <s v="542612 Prodaný materiál - režijní materiál - sklad" u="1"/>
        <s v="554600 Tvorba/zúčtování ostatních rezerv - dovolená odměn" u="1"/>
        <s v="601140 Reklamace - výrobky" u="1"/>
        <s v="89000 Oprávky nástroj Matador" u="1"/>
        <s v="602620 Tržby za služby - přefakt. doprava ostatní" u="1"/>
        <s v="648100 Ostatní provozní výnosy" u="1"/>
        <s v="501200 Spotøeba kanceláøského materiá" u="1"/>
        <s v="611100 Změna stavu nedokončené výroby" u="1"/>
        <s v="601500 Tržby za výrobky Forez" u="1"/>
        <s v="601110 Bonus zákazníkům - výrobky" u="1"/>
        <s v="111150 Pořízení materiálu - chybí příjemka" u="1"/>
        <s v="642113 Tržby z prodeje materiálu - náhradní díly" u="1"/>
        <s v="642111 Tržby z prodeje materiálu - základní materiál" u="1"/>
        <s v="648211 Ost.prov.výnosy-inventurní přebytky -zákl materiál" u="1"/>
        <s v="119100 Materiál na cestě - základní" u="1"/>
        <s v="518360 Nájem  MINOLTA KONICA kop.stro" u="1"/>
        <s v="314100 Poskytnuté zálohy - tuzemsko" u="1"/>
        <s v="551150 Odpisy dl. hmotného majetku OS5,6" u="1"/>
        <s v="131100 Pořízení zboží" u="1"/>
        <s v="554900 Tvorba/zúčtování ostatních rezerv - ostatní" u="1"/>
        <s v="373130 Pohledávky z pevných termínovaných operací skupina" u="1"/>
        <s v="321800 Závazky - ocenění" u="1"/>
        <s v="481100 Odložený daňový závazek a  pohledávka" u="1"/>
        <s v="518813 Služby práce ve mzdě - kolagen" u="1"/>
        <s v="602330 Tržby za služby - personální služby" u="1"/>
        <s v="112390 Odchylka k ND na skladě" u="1"/>
        <s v="378400 Pohledáka fa Meyer pojištìní" u="1"/>
        <s v="111999 Pořízení služeb - pomocný účet" u="1"/>
        <s v="112112 Rozdíly z inventur u materiálu na skladě -přebytky" u="1"/>
        <s v="221420 Bank. účet - UCB-CZ VCZ EUR 30981014/2700" u="1"/>
        <s v="501630 Materiál pro údržbu ostatní" u="1"/>
        <s v="641200 Tržby z prodeje drobného hmot. majetku" u="1"/>
        <s v="211300 Pokladna tuzemsko" u="1"/>
        <s v="601120 Provize zákazníků - výrobky" u="1"/>
        <s v="601130 Skonta zákazníkům - výrobky" u="1"/>
        <s v="221873 Bank. účet - DB USD VCZ 3150500303/7910" u="1"/>
        <s v="511310 Opravy výpočetní techniky" u="1"/>
        <s v="42100 Pořízení dl. hmotného majetku - stavební" u="1"/>
        <s v="314002 Zálohy dodavatelé" u="1"/>
        <s v="111991 Pořízení služeb - pomocný účet - ceniny" u="1"/>
        <s v="562100 Úroky placené bankám" u="1"/>
        <s v="321100 Závazky - tuzemsko" u="1"/>
        <s v="343340 Za služby plátcem EU14%odpoèet" u="1"/>
        <s v="501200 Spotřeba náhradních dílů" u="1"/>
        <s v="13100 Software" u="1"/>
        <s v="74200 Oprávky oc.pr. APERTUM ZB.H." u="1"/>
        <s v="524200 Zákonné zdravotní pojištění" u="1"/>
        <s v="563413 Kurzové ztráty - náhradní díly" u="1"/>
        <s v="52000 Poskytnuté zálohy na HDM" u="1"/>
        <s v="563412 Kurzové ztráty - režijní materiál" u="1"/>
        <s v="361100 Závazky - ovládající a řídící osoba" u="1"/>
        <s v="501900 Spotřeba materiálu - nedaň.náklady" u="1"/>
        <s v="191120 Opravná položka k materiálu - režijní" u="1"/>
        <s v="196100 Opravná položka ke zboží" u="1"/>
        <s v="548640 Ostatní provozní náklady - nevydodané zboží" u="1"/>
        <s v="139100 Zboží na cestě" u="1"/>
        <s v="42200 Pořízení dl. hmotného majetku - strojní" u="1"/>
        <s v="546900 Odpisy pohledávek - nedaňové" u="1"/>
        <s v="604200 Tržby za zboží - ostatní" u="1"/>
        <s v="378999 Jiné pohledávky Klabouch" u="1"/>
        <s v="221875 Bank. účet - DB GBP VCZ 3150500709/7910" u="1"/>
        <s v="389100 Doh.účty pasivní - reklamace" u="1"/>
        <s v="389065 Doh.účty pasivní - provize zákazníkům Incoterms ad" u="1"/>
        <s v="111300 Pořízení materiálu - ND" u="1"/>
        <s v="343510 DPH 0% vývoz služeb-opracování" u="1"/>
        <s v="567900 Náklady z derivátových operací - zúčtování" u="1"/>
        <s v="531000 Daò silnièní" u="1"/>
        <s v="481200 Odložený daňový závazek a  pohledávka FWD" u="1"/>
        <s v="602005 Tržby za vícepráce Bünde" u="1"/>
        <s v="221874 Bank. účet - DB CAD VCZ 3150500901/7910" u="1"/>
        <s v="211200 Pokladna EUR" u="1"/>
        <s v="343220 Poøízení zboží z EU 20%" u="1"/>
        <s v="321210 Závazky - zahraničí převzaté z NCO" u="1"/>
        <s v="601120 Tržby za výrobky Bosal" u="1"/>
        <s v="518080 Služby - telefonní výdaje" u="1"/>
        <s v="562200 Zúroèení zúètov.konta od GMA B" u="1"/>
        <s v="602002 Tržby za služby zahranièní" u="1"/>
        <s v="501504 Spotøeba PHM AUDI 4C38099 naft" u="1"/>
        <s v="13100 Sofrware" u="1"/>
        <s v="543200 DAR-DHM 2.ODP.SKUPINA" u="1"/>
        <s v="221813 Bank. účet - UCB-CZ VCZ USD 2102754769/2700" u="1"/>
        <s v="501150 Spotřeba balícího a pomocného výr.materiálu" u="1"/>
        <s v="501151 Spotřeba balícího a pomocného výr.materiálu" u="1"/>
        <s v="518180 Služby - stravování" u="1"/>
        <s v="648214 Ost.prov.výnosy-inventurní přebytky -obaly" u="1"/>
        <s v="501350 Spotřeba materiálu - reklamní předměty" u="1"/>
        <s v="343050 Plnìní bez nároku-úroky" u="1"/>
        <s v="112060 Topný olej" u="1"/>
        <s v="123190 Odchylka z přecenění k výrobkům" u="1"/>
        <s v="503101 Spotřeba pohonných hmot - sklad" u="1"/>
        <s v="551130 Odpis NDM kon.software FOR" u="1"/>
        <s v="389000 Dohadné úèty pasivní" u="1"/>
        <s v="343200 DPH - výstup" u="1"/>
        <s v="543890 DAR-DHM NEDANOVE DANOVE" u="1"/>
        <s v="501890 Spotřeba materiálu - cenové odchylky" u="1"/>
        <s v="521210 Mzdové náklady - přesčas" u="1"/>
        <s v="343330 Za služby plátcem EU20%odpoèet" u="1"/>
        <s v="602600 Tržby za služby - přefakturace v rámci sk. VSC" u="1"/>
        <s v="311210 ODBERATELE BUNDE 2010" u="1"/>
        <s v="601160 Tržby za výrobky Klein a Blaže" u="1"/>
        <s v="314005 Záloha plyn" u="1"/>
        <s v="391200 Opravná položka k pohledávkám - obecná CZ SK trh" u="1"/>
        <s v="343230 Za služby plátcem EU 20%" u="1"/>
        <s v="336100 Zúčtování s institucemi sociálního zabezpečení" u="1"/>
        <s v="221210 Termín.vklad devizový" u="1"/>
        <s v="501505 Spotøeba PHM VW PAS.5C37222 na" u="1"/>
        <s v="459700 Rezerva na právní spory" u="1"/>
        <s v="518040 Služby - překlady a tlumočení" u="1"/>
        <s v="613115 Změna stavu výrobků - příjem na sklad - fibrous" u="1"/>
        <s v="13120 Konstrukèní software CAD" u="1"/>
        <s v="527000 Zákonné sociální náklady" u="1"/>
        <s v="601140 Tržby za výrobky Karsit" u="1"/>
        <s v="518816 Služby práce ve mzdě - coffi" u="1"/>
        <s v="81110 Oprávky ke stavbám - OS4" u="1"/>
        <s v="663200 Kurzové zisky - ocenění - úvěry" u="1"/>
        <s v="563000 Kurzová ztráta" u="1"/>
        <s v="549250 Manka a škody - granulát" u="1"/>
        <s v="642030 Tržby za prodej obalù" u="1"/>
        <s v="518220 Služby - personální" u="1"/>
        <s v="501030 SPOTREBA PALET" u="1"/>
        <s v="518810 Služby práce ve mzdě - vázání v Gamexu" u="1"/>
        <s v="501100 Spotřeba základního materiálu" u="1"/>
        <s v="538346 Poplatky za zneèištìní ovzduší" u="1"/>
        <s v="213106 Ceniny - stravenky 60 Kč" u="1"/>
        <s v="559212 Tvorba/zúčtování opravných položek - režijní mat." u="1"/>
        <s v="379100 Jiné závazky - clo a DPH" u="1"/>
        <s v="122230 Neobrátkové zásoby NCO - kolagen" u="1"/>
        <s v="613190 Změna stavu výrobků - zúčt. mim. odchylek" u="1"/>
        <s v="123230 Neobrátkové zásoby NCO - kolagen" u="1"/>
        <s v="602610 Tržby za služby - přefakt. doprava mezinárodní" u="1"/>
        <s v="551100 Odpis daòový HDM 1.skup." u="1"/>
        <s v="518130 Služby - odborné vzdělávání zaměstnanců" u="1"/>
        <s v="531800 SILNICNI DAN NEDANOVA" u="1"/>
        <s v="601150 Tržby za výrobky Chabaø.strojí" u="1"/>
        <s v="82100 Oprávky stroje,zaøízení 1.skup" u="1"/>
        <s v="452100 Rezerva na důchody a podobné závazky" u="1"/>
        <s v="335000 Pohledávky za zamìstnanci" u="1"/>
        <s v="343240 Za služby plátcem EU 14%" u="1"/>
        <s v="335100 Pohledávky za zaměstnanci - zahraniční cestovné" u="1"/>
        <s v="538300 POPLATKY ZA ZNECISTENI OVZDUSI" u="1"/>
        <s v="112311 Rozdíly z inventur u ND - manko" u="1"/>
        <s v="501190 Spotøeba materiálu ze skladu" u="1"/>
        <s v="613113 Změna stavu výrobků - příjem na sklad - kolagen" u="1"/>
        <s v="112512 Rozdíly z inventur u mat. gran na skladě -přebytky" u="1"/>
        <s v="613300 Změna stavu výrobků - VZORKY" u="1"/>
        <s v="542113 Prodaný materiál - náhradní díly" u="1"/>
        <s v="112312 Rozdíly z inventur u ND - přebytky" u="1"/>
        <s v="554500 Tvorba/zúčtování ostatních rezerv - zaměst. benefi" u="1"/>
        <s v="604100 Tržby za zboží - obchod" u="1"/>
        <s v="502003 Spotøeba plynu" u="1"/>
        <s v="601100 Tržby za výrobky Witte" u="1"/>
        <s v="97100 Oceňovací rozdíl - prodej podniku" u="1"/>
        <s v="335600 Pohledávky za zaměstnanci - platební karty" u="1"/>
        <s v="373100 Pohledávky z pevných termínovaných opera" u="1"/>
        <s v="542114 Prodaný materiál - obaly" u="1"/>
        <s v="501511 Spotøeba PHM zapùjèené auto" u="1"/>
        <s v="324100 Přijaté zálohy" u="1"/>
        <s v="501620 Materiál pro údržbu pøípravkù" u="1"/>
        <s v="194100 Opravná položka k výrobkům" u="1"/>
        <s v="518160 Služby - provize" u="1"/>
        <s v="559100 Tvorba/zúčtování opravných položek - pohledávky" u="1"/>
        <s v="111000 Poøízení materiálu" u="1"/>
        <s v="549230 Manka a škody - výrobky" u="1"/>
        <s v="311110 ODBERATELE TUZEMSKO 2010" u="1"/>
        <s v="542111 Prodaný materiál - základní materiál" u="1"/>
        <s v="543000 Dary" u="1"/>
        <s v="518110 Údržba verzí APERTUM" u="1"/>
        <s v="343610 Pøenos daòové povinnosti 0% UZ" u="1"/>
        <s v="551300 Odpis daòový HDM 3.skup." u="1"/>
        <s v="73120 Oprávky kon.softwaru CAD" u="1"/>
        <s v="524100 Zákonné sociální pojištění" u="1"/>
        <s v="511200 Opravy pøípravkù" u="1"/>
        <s v="543820 DAR-DHM NEDANOVE UCETNI" u="1"/>
        <s v="112499 Materiál na skladě -obaly - Incoterms adjustment" u="1"/>
        <s v="311830 Pohledávky - ocenění - skupina" u="1"/>
        <s v="311800 Pohledávky - ocenění" u="1"/>
        <s v="112830 Materiál na skladě - náhradní díly B" u="1"/>
        <s v="391110 Opravná položka k pohledávkám - zákonná world trh" u="1"/>
        <s v="518190 Služby - analýzy vzorků" u="1"/>
        <s v="314800 Poskytnuté zálohy - ocenění" u="1"/>
        <s v="601800 Tržby - vliv zajištění na tržby" u="1"/>
        <s v="662001 Úroky termínovaný vklad devizo" u="1"/>
        <s v="542611 Prodaný materiál - základní materiál - sklad" u="1"/>
        <s v="542640 Prodaný materiál - reklamní materiál - sklad" u="1"/>
        <s v="345200 Ostatní nepřímé daně a poplatky - daň silniční" u="1"/>
        <s v="501512 Spotøeba PHM na Multicar" u="1"/>
        <s v="518812 Služby práce ve mzdě - kolagen n/e" u="1"/>
        <s v="518200 Pøepravné" u="1"/>
        <s v="518120 Údržba systémù CAD,FORGE" u="1"/>
        <s v="364100 Závazky ke společníkům při rozdělování zisku - div" u="1"/>
        <s v="543100 Dary" u="1"/>
        <s v="521263 Mzdové náklady - odměny výročí" u="1"/>
        <s v="501301 Spotřeba režijního materiálu - sklad" u="1"/>
        <s v="549113 Likvidace - náhradní díly" u="1"/>
        <s v="21120 Budovy - OS 5,6" u="1"/>
        <s v="502001 Spotøeba elektrické energie" u="1"/>
        <s v="642500 Tržby z prodeje materiálu - granulát" u="1"/>
        <s v="501300 Spotøeba knih a èasopisù" u="1"/>
        <s v="504300 Vzorky" u="1"/>
        <s v="601130 Tržby za výrobky Detail" u="1"/>
        <s v="662100 Úroky přijaté" u="1"/>
        <s v="568400 Ostatní finanční náklady" u="1"/>
        <s v="21110 Stavby - OS 4" u="1"/>
        <s v="518150 Služby - audit a daňové poradenství" u="1"/>
        <s v="335800 Pohledávky za zaměstnanci - ocenění" u="1"/>
        <s v="602350 Tržby za služby - energie" u="1"/>
        <s v="211210 Pokladna zahraničí-měna EUR" u="1"/>
        <s v="211402 Pokladna zahraničí-měna USD" u="1"/>
        <s v="601800 Tržby za výrobky Benteler Rumb" u="1"/>
        <s v="551500 Odpis daòový HDM 5.skup." u="1"/>
        <s v="612190 Změna stavu polotovarů - zúčt. mim. odchylek" u="1"/>
        <s v="648213 Ost.prov.výnosy-inventurní přebytky -náhradní díly" u="1"/>
        <s v="624100 Aktivace dl. hmotného majetku" u="1"/>
        <s v="531100 Silniční daň" u="1"/>
        <s v="663000 Kurzový zisk" u="1"/>
        <s v="501100 DHM  ve spotøebì" u="1"/>
        <s v="501500 Spotøeba pynù v lahvích" u="1"/>
        <s v="321300 Závazky - skupina" u="1"/>
        <s v="221863 Bank. účet - CSOB USD VCZ 00484030/0300" u="1"/>
        <s v="221100 Bank.úèet 4200323339/6800" u="1"/>
        <s v="601350 Tržby za výrobky Faurecia" u="1"/>
        <s v="601110 Tržby za výrobky Massag" u="1"/>
        <s v="501600 Spotřeba materiálu - z min.roku DU" u="1"/>
        <s v="518210 Služby - deratizace, dezinsekce" u="1"/>
        <s v="545100 Ostatní pokuty a penále" u="1"/>
        <s v="559215 Tvorba/zúčtování opravných položek - granulát" u="1"/>
        <s v="74300 Oprávky oc.pr. APERTUM VYR." u="1"/>
        <s v="558100 Tvorba/zúčtování zákonných opravných položek" u="1"/>
        <s v="548300 Haléøové vyrovnání" u="1"/>
        <s v="502100 Spotřeba elektrické energie" u="1"/>
        <s v="131200 Pořízení zboží - ostatní" u="1"/>
        <s v="221000 Bank.úèet 1100019280/5500" u="1"/>
        <s v="459000 Rezerva na nevyèerpanou dovole" u="1"/>
        <s v="391000 Opravná položka Klabouch" u="1"/>
        <s v="311211 Odbìratelé zahr. Bünde 2011" u="1"/>
        <s v="331100 Záloha na mzdu zamìstnanci" u="1"/>
        <s v="261200 Peníze na cestě - zahraniční měna" u="1"/>
        <s v="518400 Telefon,fax" u="1"/>
        <s v="221872 Bank. účet - DB EUR VCZ 3150500119/7910" u="1"/>
        <s v="81500 Oprávky budovy,haly 5.skup." u="1"/>
        <s v="231811 Krátkodové bankovní úvěry UCB VCZ CZK" u="1"/>
        <s v="411100 Základní kapitál zapsaný" u="1"/>
        <s v="311212 Odbìratelé zahr. Bünde 2012" u="1"/>
        <s v="343099 DPH - vypoøádání s FÚ" u="1"/>
        <s v="82200 Oprávky stroje,zaøízení 2.skup" u="1"/>
        <s v="511200 Opravy a udržování - stroje" u="1"/>
        <s v="521400 Mzdové náklady - nemocenská hrazená zaměstnavatele" u="1"/>
        <s v="602004 Tržby za opracování nástrojù B" u="1"/>
        <s v="221300 Bank.úèet ÈSOB 256431955/0300" u="1"/>
        <s v="518221 Služby - personální - head hunting" u="1"/>
        <s v="74400 Oprávky oc.pr. UNIGRAPHICS" u="1"/>
        <s v="501500 Spotřeba materiálu - granulát" u="1"/>
        <s v="191000 Opravná položka k zásobám" u="1"/>
        <s v="518900 Ostatní služby" u="1"/>
        <s v="389010 Doh.účty pasivní - úroky" u="1"/>
        <s v="518110 Doprava ostatní" u="1"/>
        <s v="567100 Náklady z derivátových operací" u="1"/>
        <s v="112290 Odchylka k rež. mat. na skladě" u="1"/>
        <s v="554700 Tvorba/zúčtování ostatních rezerv - právní spory" u="1"/>
        <s v="342200 DPFO - srážková daň" u="1"/>
        <s v="311990 Spojovací účet pro přijaté platby" u="1"/>
        <s v="231813 Krátkodové bankovní úvěry UCB VCZ USD" u="1"/>
        <s v="501513 Spotøeba PHM mycí stroj Tennan" u="1"/>
        <s v="521110 Mzdové náklady - základní mzda - ostatní" u="1"/>
        <s v="211401 Pokladna zahraničí-měna EUR" u="1"/>
        <s v="501320 Spotřeba materiálu - admin.potřeby" u="1"/>
        <s v="342200 Roèní vyúètování danì" u="1"/>
        <s v="518850 Služby z/do GAM" u="1"/>
        <s v="501600 Materiál na výrobní spotøebu" u="1"/>
        <s v="381400 Náklady příštích období - hlubotiskové válce" u="1"/>
        <s v="112490 Odchylka k obalům na skladě a k pom.výr.materiálu" u="1"/>
        <s v="341100 DPPO - právnické osoby" u="1"/>
        <s v="549120 Likvidace - polotovary" u="1"/>
        <s v="595101 Daň z příjmu - korekce předchozího období" u="1"/>
        <s v="551120 Odpis NDM kon.software CAD" u="1"/>
        <s v="503100 Spotřeba pohonných hmot" u="1"/>
        <s v="311111 Odbìratelé tuzemsko 2011" u="1"/>
        <s v="321300 Dodavatelé zahr.ostatní" u="1"/>
        <s v="501546 Spotøeba plynù kalící linka" u="1"/>
        <s v="521264 Mzdové náklady - odměny za projekty" u="1"/>
        <s v="513100 Náklady na reprezentaci" u="1"/>
        <s v="524400 Zákonné zdravotní pojištìní" u="1"/>
        <s v="662002 Úroky z úvìru fa Meyer" u="1"/>
        <s v="501640 Materiál pro výrobu nástrojù" u="1"/>
        <s v="511400 Opravy a udržby haly,komunikac" u="1"/>
        <s v="389090 Doh.účty pasivní - ostatní" u="1"/>
        <s v="311109 ODBERATELE TUZEMSKO 2009" u="1"/>
        <s v="542614 Prodaný materiál - obaly" u="1"/>
        <s v="548300 Ostatní provozní náklady - pojistné" u="1"/>
        <s v="521500 Mzdové náklady - investiční životní pojištění" u="1"/>
        <s v="112590 Odchylka k mat. na skladě -granulát" u="1"/>
        <s v="62000 Vklad ve firmì MEYER" u="1"/>
        <s v="321210 DODAVATELE ZAHR.BUNDE 2010" u="1"/>
        <s v="518330 Nájem za stroje fa GMA Bünde" u="1"/>
        <s v="221410 Bank. účet - UCB CZ - CZK 30981006/2700" u="1"/>
        <s v="501400 Spotřeba drobn.hmotn.majetku" u="1"/>
        <s v="395041 Vnitřní zúčtování nehm.investic -zakázka" u="1"/>
        <s v="378200 Kauce na nájemné" u="1"/>
        <s v="213210 Ceniny - flexipass 100Kč" u="1"/>
        <s v="389070 Doh.účty pasivní - energie" u="1"/>
        <s v="601002 Tržby za výrobky ostatní  zahr" u="1"/>
        <s v="31100 Pozemky" u="1"/>
        <s v="459100 Ostatní rezervy - odstávka" u="1"/>
        <s v="518100 DNM ve spotøebì software" u="1"/>
        <s v="459600 Rezerva na nevybranou dovolenou a odměny" u="1"/>
        <s v="14300 Oc.práva-APERTUM-VYROBA" u="1"/>
        <s v="221832 Bank. účet - UCB-SK VCZ EUR 104425900/1111" u="1"/>
        <s v="602300 Tržby za služby - ostatní" u="1"/>
        <s v="335410 Pohledávky za zaměstnanci - kantýna" u="1"/>
        <s v="391100 Opravná položka k pohledávkám - zákonná CZ SK trh" u="1"/>
        <s v="642200 Tržby za jiný odpad" u="1"/>
        <s v="528200 Ost. sociální náklady - dětské tábory" u="1"/>
        <s v="641000 Tržby z prodeje HDM" u="1"/>
        <s v="518346 Nájem plynových lahví kalírna" u="1"/>
        <s v="518021 Služby - praní a opravy prádla" u="1"/>
        <s v="551800 Zůst.cena dl. hm. a nehm. majetku - likvidace" u="1"/>
        <s v="549212 Manka a škody - režijní materiál" u="1"/>
        <s v="549214 Manka a škody - obaly" u="1"/>
        <s v="112241 Rozdíly z inventur u rekl předmětů - manko" u="1"/>
        <s v="527200 Pojištìní úraz.zam.125/93SB." u="1"/>
        <s v="132190 Odchylka ke zboží na skladě" u="1"/>
        <s v="512200 Cestovné  zahraničí - do limitu" u="1"/>
        <s v="501351 Spotřeba materiálu - reklamní předměty - sklad" u="1"/>
        <s v="428000 Nerozdìlený zisk minulých let" u="1"/>
        <s v="431100 Výsledek hospodaření ve schvalovacím řízení" u="1"/>
        <s v="504100 Prodané zboží" u="1"/>
        <s v="648212 Ost.prov.výnosy-inventurní přebytky -režijní mat." u="1"/>
        <s v="324800 Přijaté zálohy - ocenění" u="1"/>
        <s v="538200 Správní poplatky" u="1"/>
        <s v="82300 Oprávky stroje,zaøízení 3.skup" u="1"/>
        <s v="518030 Leasing - finanční" u="1"/>
        <s v="518340 Ostatní nájem budovy,haly" u="1"/>
        <s v="336900 Zúèt.sociálního pojištìní" u="1"/>
        <s v="548000 SKODA NA MAJETKU" u="1"/>
        <s v="554300 Tvorba/zúčtování ostatních rezerv - DPPO" u="1"/>
        <s v="321310 Závazky - skupina tuzemsko" u="1"/>
        <s v="613117 Změna stavu výrobků - příjem na sklad - NDX" u="1"/>
        <s v="501300 Spotřeba režijního materiálu" u="1"/>
        <s v="501900 Spotøeba OBP" u="1"/>
        <s v="648230 Ost.prov.výnosy-inventurní přebytky -výrobky" u="1"/>
        <s v="501501 Spotøeba PHM VW CK 86-04 nafta" u="1"/>
        <s v="342100 Daòová záloha zamìstnanci" u="1"/>
        <s v="428100 Nerozdělený zisk minulých let" u="1"/>
        <s v="331100 Zaměstnanci - pokladna" u="1"/>
        <s v="504101 Prodané zboží - sklad" u="1"/>
        <s v="343900 DPH - FÚ vyrovnání" u="1"/>
        <s v="545800 Pokuty a penále nedaòové" u="1"/>
        <s v="112800 Materiál na skladě - barvy potisk" u="1"/>
        <s v="518020 Služby - úklid" u="1"/>
        <s v="378100 Jiné pohledávky-kauce,mýtné" u="1"/>
        <s v="123111 Rozdíly z inventur k výrobkům - manko" u="1"/>
        <s v="648250 Ost.prov.výnosy-inventurní přebytky - granulát" u="1"/>
        <s v="389110 Doh.účty pasivní - royalties, Atradius and fees" u="1"/>
        <s v="501510 Spotøeba nafty na Destu" u="1"/>
        <s v="321110 DODAVATELE TUZEMSKO 2010" u="1"/>
        <s v="624000 Aktivace HDM" u="1"/>
        <s v="82110 Oprávky k sam. movitým věcem a soub mov. věcí OS1" u="1"/>
        <s v="518010 Daòové poradenství,audit" u="1"/>
        <s v="311102 Odbìratelé tuzemsko 2002" u="1"/>
        <s v="548350 Ostatní provozní náklady - pojistné pohled., přepr" u="1"/>
        <s v="112300 Materiál na skladě - náhradní díly" u="1"/>
        <s v="221842 Bank. účet - RB EUR VCZ 1042008718/5500" u="1"/>
        <s v="563440 Kurzové ztráty - zboží" u="1"/>
        <s v="311112 Odbìratelé tuzemsko 2012" u="1"/>
        <s v="311210 Pohledávky - world market" u="1"/>
        <s v="521221 Mzdové náklady - příplatek za svátky" u="1"/>
        <s v="663412 Kurzové zisky - režijní materiál" u="1"/>
        <s v="315999 Externí" u="1"/>
        <s v="663414 Kurzové zisky - obaly" u="1"/>
        <s v="414100 Oceňovací rozdíly z přecenění majetku a závazků" u="1"/>
        <s v="527300 Penzijní pøíspìvek zamìstnavat" u="1"/>
        <s v="314200 Poskytnuté zálohy - zahraniční" u="1"/>
        <s v="563200 Kurzové ztráty - ocenění - úvěry" u="1"/>
        <s v="21500 HDM budovy,haly,stavby 5.skup." u="1"/>
        <s v="335200 Pohledávky za zaměstnanci - zálohy na dr.nákup" u="1"/>
        <s v="521250 Mzdové náklady - prémie" u="1"/>
        <s v="119300 Materiál na cestě - ND" u="1"/>
        <s v="612200 Změna stavu polotovarů - pro SD" u="1"/>
        <s v="321990 Spojovací účet pro odeslané platby" u="1"/>
        <s v="511146 Opravy strojù kalírna" u="1"/>
        <s v="648300 Ostatní provozní výnosy - pojistné plnění" u="1"/>
        <s v="213205 Ceniny - flexipass 50Kč" u="1"/>
        <s v="389025 Doh.účty pasivní - odměny" u="1"/>
        <s v="501750 Spotřeba materiálu - skonto" u="1"/>
        <s v="132290 Odchylka ke zboží - ostatní" u="1"/>
        <s v="336200 Zúčtování s institucemi zdravotního pojištění" u="1"/>
        <s v="518500 Náklady na reklamu a inzerci" u="1"/>
        <s v="592100 Daň z příjmu z běžné činnosti-odložená" u="1"/>
        <s v="345200 Silnièní daò" u="1"/>
        <s v="94000 Opravná položka HDM" u="1"/>
        <s v="512100 Cestovné do limitu" u="1"/>
        <s v="549130 Likvidace - výrobky" u="1"/>
        <s v="568100 Ostatní finanční náklady - bankovní poplatky" u="1"/>
        <s v="221865 Bank. účet - CSOB GBP VCZ 00484080/0300" u="1"/>
        <s v="112411 Rozdíly z inventur u obalů na skladě - manko" u="1"/>
        <s v="591100 Daň z příjmu z běžné činnosti-splatná" u="1"/>
        <s v="13130 Konstrukèní software FORGE" u="1"/>
        <s v="518815 Služby práce ve mzdě - fibrous" u="1"/>
        <s v="512146 Cestovné kalírna" u="1"/>
        <s v="518170 Služby - ostatní" u="1"/>
        <s v="112200 Materiál na skladě - režijní materiál" u="1"/>
        <s v="542000 PRODANY MATERIAL" u="1"/>
        <s v="601003 Tržby za výrobky  nástrojárna" u="1"/>
        <s v="389066 Doh.účty pasivní - provize zákazníkům" u="1"/>
        <s v="389067 Doh.účty pasivní - provize zákazníkům" u="1"/>
        <s v="112302 PALETY OSTATNI" u="1"/>
        <s v="111320 Pořízení materiálu - administrativní potřeby" u="1"/>
        <s v="502400 Spotřeba energie - ostatní" u="1"/>
        <s v="112320 Materiál na skladě - administrativní potřeby" u="1"/>
        <s v="662004 Úroky z pùjèky zamìstnanci" u="1"/>
        <s v="121000 Nedokonèená výroba" u="1"/>
        <s v="613200 Změna stavu výrobků - pro SD" u="1"/>
        <s v="549114 Likvidace - obaly" u="1"/>
        <s v="518120 Služby - nájem nemovitostí a zařízení" u="1"/>
        <s v="551110 Odpisy dl. hmotného majetku OS1" u="1"/>
        <s v="662300 Úroky přijaté - skupina" u="1"/>
        <s v="112100 Pøíjem DKP" u="1"/>
        <s v="551200 Odpisy dl. nehmotného majetku" u="1"/>
        <s v="642240 Tržby z prodeje reklamního materiálu" u="1"/>
        <s v="112192 Doprava k mat. z NCO" u="1"/>
        <s v="549240 Manka a škody - zboží" u="1"/>
        <s v="221862 Bank. účet - CSOB EUR VCZ 00484360/0300" u="1"/>
        <s v="549211 Manka a škody - základní materiál" u="1"/>
        <s v="221871 Bank. účet - DB CZK VCZ 3150500004/7910" u="1"/>
        <s v="518050 Doprava mezinárodní - přefakturace" u="1"/>
        <s v="501508 SPOTR.PHM AUDI 1C42788 nafta" u="1"/>
        <s v="501330 Spotřeba materiálu - čisticí a hygien.prostředky" u="1"/>
        <s v="602006 Tržby za služby-simulaèní Bünd" u="1"/>
        <s v="73100 Oprávky softwaru" u="1"/>
        <s v="601700 Tržby za výrobky  Benteler Chr" u="1"/>
        <s v="311910 Pohledávky - Incoterms adjustment" u="1"/>
        <s v="551120 Odpisy dl. hmotného majetku OS2" u="1"/>
        <s v="389800 Doh.účty pasivní - ocenění" u="1"/>
        <s v="667900 Výnosy z derivátových operací - zúčtování" u="1"/>
        <s v="541100 Zůst. cena prodaného dl. nehm. a hm. majetku" u="1"/>
        <s v="602320 Tržby za služby - nájem" u="1"/>
        <s v="662000 Úroky" u="1"/>
        <s v="311200 Pohledávky - SK trh" u="1"/>
        <s v="112412 Rozdíly z inventur u obalů na skladě - přebytky" u="1"/>
        <s v="518910 Služby pro výrobu nových nástr" u="1"/>
        <s v="343100 PZP 20%" u="1"/>
        <s v="563343 Kurzové ztráty - DPH" u="1"/>
        <s v="542600 Prodaný materiál - granulát - sklad" u="1"/>
        <s v="221864 Bank. účet - CSOB CAD VCZ 00484200/0300" u="1"/>
        <s v="132200 Zboží na skladě - ostatní" u="1"/>
        <s v="121100 Nedokončená výroba" u="1"/>
        <s v="551130 Odpisy dl. hmotného majetku OS3" u="1"/>
        <s v="378000 Jiné pohledávky" u="1"/>
        <s v="122190 Odchylka k polotovarům" u="1"/>
        <s v="518800 Ostatní služby nedaòové" u="1"/>
        <s v="231862 Krátkodové bankovní úvěry ČSOB VCZ EUR" u="1"/>
        <s v="381000 Náklady pøíštích období" u="1"/>
        <s v="521010 Základní mzdy" u="1"/>
        <s v="521999 Mzdové náklady - nepřiřazené" u="1"/>
        <s v="648240 Ost.prov.výnosy-inventurní přebytky - zboží" u="1"/>
        <s v="612100 Změna stavu polotovarů" u="1"/>
        <s v="528800 OSTATNI SOC. NAKLADY NEDANOVE" u="1"/>
        <s v="395042 Vnitřní zúčtování hmotn.investic - zakázka" u="1"/>
        <s v="604120 Provize zákazníkům - zboží" u="1"/>
        <s v="511100 Opravy a udržování - budovy a stavby" u="1"/>
        <s v="343320 Poøízení zboží z EU 20% odpoèe" u="1"/>
        <s v="551140 Odpisy dl. hmotného majetku OS4" u="1"/>
        <s v="501503 Spotøeba PHM FABIA 1C66124 ben" u="1"/>
        <s v="501601 Spotøeba svitkù a dílù" u="1"/>
        <s v="524900 Zákonné sociální pojištìní" u="1"/>
        <s v="41000 Poøízení NDM" u="1"/>
        <s v="378300 Úvìr fa Meyer" u="1"/>
        <s v="548500 Ostatní provozní náklady - náhrady škod zákazníkům" u="1"/>
        <s v="379300 Pøednostní pohledávka" u="1"/>
        <s v="549140 Likvidace - zboží" u="1"/>
        <s v="602003 Tržby za opracování dílù Bünde" u="1"/>
        <s v="601250 Tržby za výrobky Magna Cartech" u="1"/>
        <s v="315000 Ostatní pohledávky" u="1"/>
        <s v="73130 Oprávky kon.softwaru FORGE" u="1"/>
        <s v="221861 Bank. účet - CSOB CZK VCZ 117171743/0300" u="1"/>
        <s v="518165 Služby - royalties" u="1"/>
        <s v="527400 Pøíspìvek na dopravu" u="1"/>
        <s v="29200 HDM tech.zhod. 2.skupina" u="1"/>
        <s v="321111 Dodavatelé tuzemsko 2011" u="1"/>
        <s v="663440 Kurzové zisky - zboží" u="1"/>
        <s v="518817 Služby práce ve mzdě - NDX" u="1"/>
        <s v="663411 Kurzové zisky - základní materiál" u="1"/>
        <s v="551810 Odpisy daòové" u="1"/>
        <s v="342100 DPFO - závislá činnost" u="1"/>
        <s v="342300 Srážková daò dodavatelù" u="1"/>
        <s v="311100 Pohledávky - CZ trh" u="1"/>
        <s v="511546 Opravy mìøidel kalírna" u="1"/>
        <s v="501650 Materiál pro údržbu hal" u="1"/>
        <s v="112399 Materiál na skladě - náhradní díly - Incoterms adj" u="1"/>
        <s v="381100 Náklady příštích období" u="1"/>
        <s v="521050 Prémie" u="1"/>
        <s v="501610 Materiál pro údržbu strojù" u="1"/>
        <s v="112191 Doprava k mat. z VSA" u="1"/>
        <s v="554100 Tvorba/zúčtování ostatních rezerv - odstávka" u="1"/>
        <s v="82120 Oprávky k sam. movitým věcem a soub mov. věcí OS2" u="1"/>
        <s v="554310 Tvorba/zúčtování ostatních rezerv - odložená daň" u="1"/>
        <s v="551800 Odpisy úèetní" u="1"/>
        <s v="501340 Spotřeba materiálu - pracovní oděvy" u="1"/>
        <s v="521090 Náhrada mzdy DPN" u="1"/>
        <s v="314003 Záloha plyn hala E" u="1"/>
        <s v="111900 Náklady na poøízení materiálu" u="1"/>
        <s v="22110 Samostatné movité věci a soubory movitých věcí OS1" u="1"/>
        <s v="501700 Spotřeba materiálu - přefakturace" u="1"/>
        <s v="123900 Výrobky - Incoterms adustment" u="1"/>
        <s v="528300 Ost. sociální náklady - motivační fond" u="1"/>
        <s v="521222 Mzdové náklady - příplatek za zt. prac. podmínky" u="1"/>
        <s v="221843 Bank. účet - RB USD VCZ 1072005323/5500" u="1"/>
        <s v="663900 Kurzové zisky - ocenění - zúčtovací vztahy" u="1"/>
        <s v="548400 Ostatní provozní náklady - odškodné prac.neschopn." u="1"/>
        <s v="501910 Spotøeba ostatního materiálu" u="1"/>
        <s v="544100 SMLUVNI PENALE" u="1"/>
        <s v="112120 Odchylky z kalk. NCO/VSA" u="1"/>
        <s v="504201 Prodané zboží - ostatní - sklad" u="1"/>
        <s v="521240 Mzdové náklady - dovolená" u="1"/>
        <s v="112220 Neobrátkové zásoby NCO - plastic" u="1"/>
        <s v="502220 Srážková voda" u="1"/>
        <s v="388100 Doh.účty aktivní" u="1"/>
        <s v="518250 Služby - nájem ostatní" u="1"/>
        <s v="336400 Zúèt.zdravotního pojištìní" u="1"/>
        <s v="518166 Služby - manažerské poplatky" u="1"/>
        <s v="459500 Rezerva provize zák." u="1"/>
        <s v="459510 Rezerva provize zák." u="1"/>
        <s v="22120 Samostatné movité věci a soubory movitých věcí OS2" u="1"/>
        <s v="343410 DPH 0% vývoz zboží-zmìna vlast" u="1"/>
        <s v="538100 Ostatní daně a poplatky" u="1"/>
        <s v="221200 Dev.úèet 1100027619/5500" u="1"/>
        <s v="521262 Mzdové náklady - odměna za výkon" u="1"/>
        <s v="501321 Spotřeba materiálu - admin.potřeby - sklad" u="1"/>
        <s v="428900 Nerozdělený zisk minulých let - kor. minulých obdo" u="1"/>
        <s v="311310 Pohledávky - skupina - tuzemsko" u="1"/>
        <s v="119240 Materiál na cestě - administrativní materiál" u="1"/>
        <s v="551000 Odpis nástroj Matador" u="1"/>
      </sharedItems>
    </cacheField>
    <cacheField name="uc_synt" numFmtId="164">
      <sharedItems/>
    </cacheField>
    <cacheField name="uc_synt_popis" numFmtId="164">
      <sharedItems/>
    </cacheField>
    <cacheField name="výkaz" numFmtId="164">
      <sharedItems count="3">
        <s v="-"/>
        <s v="Rozvaha" u="1"/>
        <s v="Výsledovka" u="1"/>
      </sharedItems>
    </cacheField>
    <cacheField name="část" numFmtId="164">
      <sharedItems count="5">
        <s v="-"/>
        <s v="Aktiva" u="1"/>
        <s v="Náklady" u="1"/>
        <s v="Pasiva" u="1"/>
        <s v="Výnosy" u="1"/>
      </sharedItems>
    </cacheField>
    <cacheField name="ř_auto" numFmtId="164">
      <sharedItems/>
    </cacheField>
    <cacheField name="ř_A/P a" numFmtId="164">
      <sharedItems/>
    </cacheField>
    <cacheField name="ř_A/P s" numFmtId="164">
      <sharedItems/>
    </cacheField>
    <cacheField name="ř_ručně" numFmtId="164">
      <sharedItems containsNonDate="0" containsString="0" containsBlank="1"/>
    </cacheField>
    <cacheField name="ř_final" numFmtId="164">
      <sharedItems/>
    </cacheField>
    <cacheField name="ř_číslo_popis" numFmtId="164">
      <sharedItems count="76">
        <s v="-"/>
        <s v="027 Půjčky a úvěry - ovládaná nebo ovládající osoba, podstatný vliv" u="1"/>
        <s v="104 Odložený daňový závazek" u="1"/>
        <s v="093 Ostatní rezervy" u="1"/>
        <s v="043 Nákladové úroky" u="1"/>
        <s v="027 Ostatní provozní náklady" u="1"/>
        <s v="113 Kratkodobé přijaté zálohy" u="1"/>
        <s v="014 Pozemky" u="1"/>
        <s v="018 Odpisy  dlouhodobého nehmotného a hmotného majetku" u="1"/>
        <s v="040 Náklady z přecenění cenných papírů a derivátů" u="1"/>
        <s v="008 Ocenitelná práva" u="1"/>
        <s v="007 Aktivace" u="1"/>
        <s v="015 Náklady na sociální zabezpečení a zdravotní pojištění" u="1"/>
        <s v="042 Výnosové úroky" u="1"/>
        <s v="112 Stát - daňové závazky a dotace" u="1"/>
        <s v="119 Krátkodobé bankovní úvěry " u="1"/>
        <s v="023 Zůstatková cena prodaného dlouhodobého majetku" u="1"/>
        <s v="116 Jiné závazky" u="1"/>
        <s v="055 Krátkodobé poskytnuté zálohy" u="1"/>
        <s v="106 Závazky z obchodních vztahů" u="1"/>
        <s v="026 Ostatní provozní výnosy" u="1"/>
        <s v="051      - odložená" u="1"/>
        <s v="002 Náklady vynaložené na prodané zboží" u="1"/>
        <s v="016 Samostatné movité věci a soubory movitých věcí" u="1"/>
        <s v="049 Pohledávky z obchodních vztahů" u="1"/>
        <s v="006 Změna stavu zásob vlastní činnosti" u="1"/>
        <s v="037 Zboží" u="1"/>
        <s v="116 Jiné závazky (krátkodobé)" u="1"/>
        <s v="010 Služby" u="1"/>
        <s v="084 Nerozdělený zisk minulých let " u="1"/>
        <s v="021 Tržby z prodeje materiálu" u="1"/>
        <s v="005 Tržby za prodej vlastních výrobků a služeb" u="1"/>
        <s v="115 Dohadné účty pasivní " u="1"/>
        <s v="017 Daně a poplatky" u="1"/>
        <s v="016 Sociální náklady" u="1"/>
        <s v="066 Příjmy příštích období" u="1"/>
        <s v="022 Oceňovací rozdíl k nabytému majetku" u="1"/>
        <s v="025 Podíly v účetních jednotkách pod podstatným vlivem" u="1"/>
        <s v="059 Peníze" u="1"/>
        <s v="049 Pohledávky z obchodních vztahů (krátkodobé)" u="1"/>
        <s v="025 Změna stavu rezerv a opravných položek v provozní oblasti a komplexních nákladů příštích období" u="1"/>
        <s v="015 Stavby" u="1"/>
        <s v="050      - splatná" u="1"/>
        <s v="057 Jiné pohledávky" u="1"/>
        <s v="021 Poskytnuté zálohy na dlouhodobý hmotný majetek" u="1"/>
        <s v="085 Neuhrazená ztráta minulých let" u="1"/>
        <s v="020 Nedokončený dlouhodobý hmotný majetek" u="1"/>
        <s v="110 Závazky k zaměstnancům" u="1"/>
        <s v="091 Rezerva na důchody a podobné závazky" u="1"/>
        <s v="060 Účty v bankách" u="1"/>
        <s v="011 Nedokončený dlouhodobý nehmotný majetek" u="1"/>
        <s v="123 Výnosy příštích období " u="1"/>
        <s v="019 Jiný dlouhodobý hmotný majetek" u="1"/>
        <s v="050 Pohledávky - ovládající a řídící osoba" u="1"/>
        <s v="039 Výnosy z přecenění cenných papírů a derivátů" u="1"/>
        <s v="009 Spotřeba materiálu a energie" u="1"/>
        <s v="013 Mzdové náklady" u="1"/>
        <s v="035 Výrobky" u="1"/>
        <s v="054 Stát - daňové pohledávky" u="1"/>
        <s v="057 Jiné pohledávky (krátkodobé)" u="1"/>
        <s v="007 Software" u="1"/>
        <s v="081 Zákonný rezervní fond / Nedělitelný fond" u="1"/>
        <s v="045 Ostatní finanční náklady" u="1"/>
        <s v="070 Základní kapitál" u="1"/>
        <s v="122 Výdaje příštích období" u="1"/>
        <s v="056 Dohadné účty aktivní" u="1"/>
        <s v="076 Oceňovací rozdíly z přecenění majetku a závazků" u="1"/>
        <s v="107 Závazky - ovládaná nebo ovládající osoba" u="1"/>
        <s v="064 Náklady příštích období " u="1"/>
        <s v="020 Tržby z prodeje dlouhodobého majetku " u="1"/>
        <s v="034 Nedokončená výroba a polotovary" u="1"/>
        <s v="044 Ostatní finanční výnosy" u="1"/>
        <s v="111 Závazky ze sociálního zabezpečení a zdravotního pojištění" u="1"/>
        <s v="033 Materiál" u="1"/>
        <s v="024 Prodaný materiál" u="1"/>
        <s v="001 Tržby za prodej zboží " u="1"/>
      </sharedItems>
    </cacheField>
    <cacheField name="id_1" numFmtId="0">
      <sharedItems/>
    </cacheField>
    <cacheField name="id_2" numFmtId="0">
      <sharedItems/>
    </cacheField>
    <cacheField name="id_skupina" numFmtId="0">
      <sharedItems count="19">
        <s v="-"/>
        <s v="B.II. Dlouhodobý hmotný majetek  (ř. 14 až 22)" u="1"/>
        <s v="A.I. Základní kapitál (ř. 70 až  72 )" u="1"/>
        <s v="B.III. Krátkodobé závazky  (ř. 106 až 116)" u="1"/>
        <s v="A.IV. Výsledek hospodaření minulých let  (ř. 84 + 85 + 86)" u="1"/>
        <s v="A. Provozní hospodářský výsledek" u="1"/>
        <s v="B.II. Dlouhodobé závazky  (ř. 95 až 104)" u="1"/>
        <s v="C.IV. Krátkodobý finanční majetek  (ř. 59 až 62)" u="1"/>
        <s v="C.III. Krátkodobé pohledávky  (ř. 49 až 57)" u="1"/>
        <s v="A.III. Rezervní fondy, nedělitelný fond  a ostatní fondy ze zisku  (ř. 81 + 82 )" u="1"/>
        <s v="B.I. Rezervy   (ř. 90 až 93)" u="1"/>
        <s v="A.II. Kapitálové fondy   (ř. 74 až 79)" u="1"/>
        <s v="B. Finanční hospodářský výsledek" u="1"/>
        <s v="B.IV. Bankovní úvěry a výpomoci  (ř. 118 až 120)" u="1"/>
        <s v="C.I. Časové rozlišení  (ř. 122 + 123)" u="1"/>
        <s v="D.I. Časové rozlišení  (ř. 64 až 66)" u="1"/>
        <s v="B.I. Dlouhodobý nehmotný majetek (ř. 05 až 12)" u="1"/>
        <s v="C.I. Zásoby   (ř. 33 až 38)" u="1"/>
        <s v="B.III. Dlouhodobý finanční majetek  (ř. 24 až 30)" u="1"/>
      </sharedItems>
    </cacheField>
    <cacheField name="typ sloupce" numFmtId="164">
      <sharedItems/>
    </cacheField>
    <cacheField name="zokrouhleno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5" applyNumberFormats="0" applyBorderFormats="0" applyFontFormats="0" applyPatternFormats="0" applyAlignmentFormats="0" applyWidthHeightFormats="1" dataCaption="Hodnoty" grandTotalCaption="Total" updatedVersion="4" minRefreshableVersion="3" useAutoFormatting="1" colGrandTotals="0" itemPrintTitles="1" createdVersion="4" indent="0" showHeaders="0" outline="1" outlineData="1" multipleFieldFilters="0">
  <location ref="B6:C11" firstHeaderRow="1" firstDataRow="2" firstDataCol="1"/>
  <pivotFields count="24">
    <pivotField showAll="0"/>
    <pivotField axis="axisCol" numFmtId="14" showAll="0" sortType="descending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797">
        <item m="1" x="214"/>
        <item m="1" x="274"/>
        <item m="1" x="185"/>
        <item m="1" x="119"/>
        <item m="1" x="327"/>
        <item m="1" x="670"/>
        <item m="1" x="56"/>
        <item m="1" x="75"/>
        <item m="1" x="149"/>
        <item m="1" x="73"/>
        <item m="1" x="303"/>
        <item m="1" x="291"/>
        <item m="1" x="103"/>
        <item m="1" x="61"/>
        <item m="1" x="292"/>
        <item m="1" x="775"/>
        <item m="1" x="76"/>
        <item m="1" x="756"/>
        <item m="1" x="683"/>
        <item m="1" x="157"/>
        <item m="1" x="664"/>
        <item m="1" x="128"/>
        <item m="1" x="778"/>
        <item m="1" x="190"/>
        <item m="1" x="121"/>
        <item m="1" x="582"/>
        <item m="1" x="521"/>
        <item m="1" x="624"/>
        <item m="1" x="404"/>
        <item m="1" x="410"/>
        <item m="1" x="672"/>
        <item m="1" x="289"/>
        <item m="1" x="752"/>
        <item m="1" x="38"/>
        <item m="1" x="658"/>
        <item m="1" x="702"/>
        <item m="1" x="208"/>
        <item m="1" x="534"/>
        <item m="1" x="437"/>
        <item m="1" x="84"/>
        <item m="1" x="95"/>
        <item m="1" x="407"/>
        <item m="1" x="554"/>
        <item m="1" x="611"/>
        <item m="1" x="440"/>
        <item m="1" x="150"/>
        <item m="1" x="278"/>
        <item m="1" x="178"/>
        <item m="1" x="794"/>
        <item m="1" x="640"/>
        <item m="1" x="205"/>
        <item m="1" x="81"/>
        <item m="1" x="709"/>
        <item m="1" x="66"/>
        <item m="1" x="243"/>
        <item m="1" x="712"/>
        <item m="1" x="180"/>
        <item m="1" x="162"/>
        <item m="1" x="390"/>
        <item m="1" x="79"/>
        <item m="1" x="25"/>
        <item m="1" x="614"/>
        <item m="1" x="216"/>
        <item m="1" x="352"/>
        <item m="1" x="181"/>
        <item m="1" x="392"/>
        <item m="1" x="767"/>
        <item m="1" x="308"/>
        <item m="1" x="282"/>
        <item m="1" x="494"/>
        <item m="1" x="211"/>
        <item m="1" x="246"/>
        <item m="1" x="584"/>
        <item m="1" x="708"/>
        <item m="1" x="648"/>
        <item m="1" x="57"/>
        <item m="1" x="319"/>
        <item m="1" x="167"/>
        <item m="1" x="316"/>
        <item m="1" x="23"/>
        <item m="1" x="203"/>
        <item m="1" x="101"/>
        <item m="1" x="74"/>
        <item m="1" x="422"/>
        <item m="1" x="317"/>
        <item m="1" x="466"/>
        <item m="1" x="245"/>
        <item m="1" x="458"/>
        <item m="1" x="470"/>
        <item m="1" x="296"/>
        <item m="1" x="528"/>
        <item m="1" x="471"/>
        <item m="1" x="387"/>
        <item m="1" x="645"/>
        <item m="1" x="562"/>
        <item m="1" x="263"/>
        <item m="1" x="94"/>
        <item m="1" x="765"/>
        <item m="1" x="786"/>
        <item m="1" x="13"/>
        <item m="1" x="558"/>
        <item m="1" x="293"/>
        <item m="1" x="261"/>
        <item m="1" x="218"/>
        <item m="1" x="344"/>
        <item m="1" x="570"/>
        <item m="1" x="32"/>
        <item m="1" x="625"/>
        <item m="1" x="770"/>
        <item m="1" x="738"/>
        <item m="1" x="685"/>
        <item m="1" x="482"/>
        <item m="1" x="707"/>
        <item m="1" x="657"/>
        <item m="1" x="687"/>
        <item m="1" x="502"/>
        <item m="1" x="299"/>
        <item m="1" x="333"/>
        <item m="1" x="324"/>
        <item m="1" x="504"/>
        <item m="1" x="45"/>
        <item m="1" x="525"/>
        <item m="1" x="231"/>
        <item m="1" x="714"/>
        <item m="1" x="104"/>
        <item m="1" x="139"/>
        <item m="1" x="500"/>
        <item m="1" x="565"/>
        <item m="1" x="749"/>
        <item m="1" x="701"/>
        <item m="1" x="628"/>
        <item m="1" x="192"/>
        <item m="1" x="793"/>
        <item m="1" x="439"/>
        <item m="1" x="438"/>
        <item m="1" x="694"/>
        <item m="1" x="196"/>
        <item m="1" x="524"/>
        <item m="1" x="280"/>
        <item m="1" x="635"/>
        <item m="1" x="443"/>
        <item m="1" x="305"/>
        <item m="1" x="259"/>
        <item m="1" x="336"/>
        <item m="1" x="481"/>
        <item m="1" x="599"/>
        <item m="1" x="285"/>
        <item m="1" x="49"/>
        <item m="1" x="111"/>
        <item m="1" x="642"/>
        <item m="1" x="420"/>
        <item m="1" x="228"/>
        <item m="1" x="591"/>
        <item m="1" x="164"/>
        <item m="1" x="607"/>
        <item m="1" x="39"/>
        <item m="1" x="402"/>
        <item m="1" x="638"/>
        <item m="1" x="152"/>
        <item m="1" x="21"/>
        <item m="1" x="572"/>
        <item m="1" x="416"/>
        <item m="1" x="468"/>
        <item m="1" x="367"/>
        <item m="1" x="649"/>
        <item m="1" x="535"/>
        <item m="1" x="747"/>
        <item m="1" x="523"/>
        <item m="1" x="195"/>
        <item m="1" x="356"/>
        <item m="1" x="201"/>
        <item m="1" x="609"/>
        <item m="1" x="168"/>
        <item m="1" x="448"/>
        <item m="1" x="109"/>
        <item m="1" x="314"/>
        <item m="1" x="453"/>
        <item m="1" x="10"/>
        <item m="1" x="417"/>
        <item m="1" x="284"/>
        <item m="1" x="96"/>
        <item m="1" x="226"/>
        <item m="1" x="389"/>
        <item m="1" x="753"/>
        <item m="1" x="241"/>
        <item m="1" x="129"/>
        <item m="1" x="533"/>
        <item m="1" x="256"/>
        <item m="1" x="124"/>
        <item m="1" x="125"/>
        <item m="1" x="780"/>
        <item m="1" x="8"/>
        <item m="1" x="518"/>
        <item m="1" x="188"/>
        <item m="1" x="646"/>
        <item m="1" x="220"/>
        <item m="1" x="199"/>
        <item m="1" x="200"/>
        <item m="1" x="326"/>
        <item m="1" x="667"/>
        <item m="1" x="668"/>
        <item m="1" x="563"/>
        <item m="1" x="549"/>
        <item m="1" x="325"/>
        <item m="1" x="616"/>
        <item m="1" x="696"/>
        <item m="1" x="573"/>
        <item m="1" x="441"/>
        <item m="1" x="365"/>
        <item m="1" x="204"/>
        <item m="1" x="560"/>
        <item m="1" x="721"/>
        <item m="1" x="186"/>
        <item m="1" x="47"/>
        <item m="1" x="505"/>
        <item m="1" x="633"/>
        <item m="1" x="301"/>
        <item m="1" x="106"/>
        <item m="1" x="320"/>
        <item m="1" x="606"/>
        <item m="1" x="792"/>
        <item m="1" x="588"/>
        <item m="1" x="399"/>
        <item m="1" x="34"/>
        <item m="1" x="566"/>
        <item m="1" x="151"/>
        <item m="1" x="88"/>
        <item m="1" x="784"/>
        <item m="1" x="785"/>
        <item m="1" x="568"/>
        <item m="1" x="370"/>
        <item m="1" x="102"/>
        <item m="1" x="286"/>
        <item m="1" x="331"/>
        <item m="1" x="385"/>
        <item m="1" x="130"/>
        <item m="1" x="345"/>
        <item m="1" x="346"/>
        <item m="1" x="307"/>
        <item m="1" x="83"/>
        <item m="1" x="601"/>
        <item m="1" x="456"/>
        <item m="1" x="145"/>
        <item m="1" x="529"/>
        <item m="1" x="791"/>
        <item m="1" x="690"/>
        <item m="1" x="761"/>
        <item m="1" x="349"/>
        <item m="1" x="586"/>
        <item m="1" x="559"/>
        <item m="1" x="515"/>
        <item m="1" x="134"/>
        <item m="1" x="486"/>
        <item m="1" x="766"/>
        <item m="1" x="647"/>
        <item m="1" x="358"/>
        <item m="1" x="315"/>
        <item m="1" x="493"/>
        <item m="1" x="247"/>
        <item m="1" x="779"/>
        <item m="1" x="14"/>
        <item m="1" x="671"/>
        <item m="1" x="539"/>
        <item m="1" x="353"/>
        <item m="1" x="589"/>
        <item m="1" x="608"/>
        <item m="1" x="776"/>
        <item m="1" x="462"/>
        <item m="1" x="723"/>
        <item m="1" x="509"/>
        <item m="1" x="115"/>
        <item m="1" x="300"/>
        <item m="1" x="65"/>
        <item m="1" x="136"/>
        <item m="1" x="585"/>
        <item m="1" x="544"/>
        <item m="1" x="26"/>
        <item m="1" x="155"/>
        <item m="1" x="612"/>
        <item m="1" x="578"/>
        <item m="1" x="594"/>
        <item m="1" x="118"/>
        <item m="1" x="371"/>
        <item m="1" x="688"/>
        <item m="1" x="112"/>
        <item m="1" x="232"/>
        <item m="1" x="338"/>
        <item m="1" x="46"/>
        <item m="1" x="519"/>
        <item m="1" x="677"/>
        <item m="1" x="395"/>
        <item m="1" x="213"/>
        <item m="1" x="467"/>
        <item m="1" x="423"/>
        <item m="1" x="739"/>
        <item m="1" x="783"/>
        <item m="1" x="663"/>
        <item m="1" x="347"/>
        <item m="1" x="442"/>
        <item m="1" x="487"/>
        <item m="1" x="382"/>
        <item m="1" x="513"/>
        <item m="1" x="68"/>
        <item m="1" x="781"/>
        <item m="1" x="215"/>
        <item m="1" x="159"/>
        <item m="1" x="384"/>
        <item m="1" x="93"/>
        <item m="1" x="450"/>
        <item m="1" x="287"/>
        <item m="1" x="661"/>
        <item m="1" x="376"/>
        <item m="1" x="744"/>
        <item m="1" x="531"/>
        <item m="1" x="230"/>
        <item m="1" x="163"/>
        <item m="1" x="527"/>
        <item m="1" x="359"/>
        <item m="1" x="142"/>
        <item m="1" x="629"/>
        <item m="1" x="769"/>
        <item m="1" x="110"/>
        <item m="1" x="777"/>
        <item m="1" x="639"/>
        <item m="1" x="187"/>
        <item m="1" x="24"/>
        <item m="1" x="790"/>
        <item m="1" x="455"/>
        <item m="1" x="543"/>
        <item m="1" x="234"/>
        <item m="1" x="510"/>
        <item m="1" x="553"/>
        <item m="1" x="209"/>
        <item m="1" x="120"/>
        <item m="1" x="717"/>
        <item m="1" x="434"/>
        <item m="1" x="310"/>
        <item m="1" x="210"/>
        <item m="1" x="575"/>
        <item m="1" x="768"/>
        <item m="1" x="477"/>
        <item m="1" x="252"/>
        <item m="1" x="788"/>
        <item m="1" x="698"/>
        <item m="1" x="428"/>
        <item m="1" x="7"/>
        <item m="1" x="409"/>
        <item m="1" x="418"/>
        <item m="1" x="706"/>
        <item m="1" x="446"/>
        <item m="1" x="264"/>
        <item m="1" x="30"/>
        <item m="1" x="551"/>
        <item m="1" x="447"/>
        <item m="1" x="454"/>
        <item m="1" x="488"/>
        <item m="1" x="321"/>
        <item m="1" x="4"/>
        <item m="1" x="552"/>
        <item m="1" x="623"/>
        <item m="1" x="772"/>
        <item m="1" x="731"/>
        <item m="1" x="12"/>
        <item m="1" x="318"/>
        <item m="1" x="222"/>
        <item m="1" x="457"/>
        <item m="1" x="676"/>
        <item m="1" x="536"/>
        <item m="1" x="655"/>
        <item m="1" x="733"/>
        <item m="1" x="60"/>
        <item m="1" x="227"/>
        <item m="1" x="36"/>
        <item m="1" x="686"/>
        <item m="1" x="580"/>
        <item m="1" x="29"/>
        <item m="1" x="581"/>
        <item m="1" x="161"/>
        <item m="1" x="426"/>
        <item m="1" x="684"/>
        <item m="1" x="380"/>
        <item m="1" x="678"/>
        <item m="1" x="695"/>
        <item m="1" x="710"/>
        <item m="1" x="725"/>
        <item m="1" x="281"/>
        <item m="1" x="681"/>
        <item m="1" x="579"/>
        <item m="1" x="757"/>
        <item m="1" x="598"/>
        <item m="1" x="759"/>
        <item m="1" x="411"/>
        <item m="1" x="265"/>
        <item m="1" x="522"/>
        <item m="1" x="283"/>
        <item m="1" x="202"/>
        <item m="1" x="491"/>
        <item m="1" x="424"/>
        <item m="1" x="166"/>
        <item m="1" x="388"/>
        <item m="1" x="258"/>
        <item m="1" x="132"/>
        <item m="1" x="489"/>
        <item m="1" x="198"/>
        <item m="1" x="239"/>
        <item m="1" x="64"/>
        <item m="1" x="117"/>
        <item m="1" x="304"/>
        <item m="1" x="238"/>
        <item m="1" x="116"/>
        <item m="1" x="636"/>
        <item m="1" x="705"/>
        <item m="1" x="87"/>
        <item m="1" x="313"/>
        <item m="1" x="311"/>
        <item m="1" x="20"/>
        <item m="1" x="626"/>
        <item m="1" x="127"/>
        <item m="1" x="520"/>
        <item m="1" x="329"/>
        <item m="1" x="656"/>
        <item m="1" x="465"/>
        <item m="1" x="28"/>
        <item m="1" x="659"/>
        <item m="1" x="651"/>
        <item m="1" x="54"/>
        <item m="1" x="537"/>
        <item m="1" x="42"/>
        <item m="1" x="273"/>
        <item m="1" x="297"/>
        <item m="1" x="298"/>
        <item m="1" x="266"/>
        <item m="1" x="15"/>
        <item m="1" x="444"/>
        <item m="1" x="69"/>
        <item m="1" x="48"/>
        <item m="1" x="571"/>
        <item m="1" x="699"/>
        <item m="1" x="288"/>
        <item m="1" x="206"/>
        <item m="1" x="469"/>
        <item m="1" x="148"/>
        <item m="1" x="361"/>
        <item m="1" x="393"/>
        <item m="1" x="268"/>
        <item m="1" x="412"/>
        <item m="1" x="59"/>
        <item m="1" x="722"/>
        <item m="1" x="322"/>
        <item m="1" x="271"/>
        <item m="1" x="719"/>
        <item m="1" x="474"/>
        <item m="1" x="641"/>
        <item m="1" x="98"/>
        <item m="1" x="255"/>
        <item m="1" x="44"/>
        <item m="1" x="9"/>
        <item m="1" x="406"/>
        <item m="1" x="372"/>
        <item m="1" x="160"/>
        <item m="1" x="600"/>
        <item m="1" x="391"/>
        <item m="1" x="675"/>
        <item m="1" x="408"/>
        <item m="1" x="476"/>
        <item m="1" x="114"/>
        <item m="1" x="295"/>
        <item m="1" x="276"/>
        <item m="1" x="174"/>
        <item m="1" x="275"/>
        <item m="1" x="177"/>
        <item m="1" x="682"/>
        <item m="1" x="460"/>
        <item m="1" x="90"/>
        <item m="1" x="269"/>
        <item m="1" x="277"/>
        <item m="1" x="590"/>
        <item m="1" x="475"/>
        <item m="1" x="348"/>
        <item m="1" x="603"/>
        <item m="1" x="718"/>
        <item m="1" x="615"/>
        <item m="1" x="644"/>
        <item m="1" x="191"/>
        <item m="1" x="464"/>
        <item m="1" x="679"/>
        <item m="1" x="91"/>
        <item m="1" x="378"/>
        <item m="1" x="135"/>
        <item m="1" x="745"/>
        <item m="1" x="630"/>
        <item m="1" x="67"/>
        <item m="1" x="632"/>
        <item m="1" x="743"/>
        <item m="1" x="771"/>
        <item m="1" x="100"/>
        <item m="1" x="697"/>
        <item m="1" x="53"/>
        <item m="1" x="184"/>
        <item m="1" x="377"/>
        <item m="1" x="154"/>
        <item m="1" x="620"/>
        <item m="1" x="758"/>
        <item m="1" x="80"/>
        <item m="1" x="165"/>
        <item m="1" x="415"/>
        <item m="1" x="253"/>
        <item m="1" x="156"/>
        <item m="1" x="631"/>
        <item m="1" x="497"/>
        <item m="1" x="342"/>
        <item m="1" x="373"/>
        <item m="1" x="660"/>
        <item m="1" x="78"/>
        <item m="1" x="569"/>
        <item m="1" x="251"/>
        <item m="1" x="637"/>
        <item m="1" x="72"/>
        <item m="1" x="107"/>
        <item m="1" x="126"/>
        <item m="1" x="141"/>
        <item m="1" x="741"/>
        <item m="1" x="729"/>
        <item m="1" x="1"/>
        <item m="1" x="312"/>
        <item m="1" x="555"/>
        <item m="1" x="254"/>
        <item m="1" x="692"/>
        <item m="1" x="433"/>
        <item m="1" x="737"/>
        <item m="1" x="309"/>
        <item m="1" x="490"/>
        <item m="1" x="514"/>
        <item m="1" x="503"/>
        <item m="1" x="398"/>
        <item m="1" x="508"/>
        <item m="1" x="593"/>
        <item m="1" x="267"/>
        <item m="1" x="653"/>
        <item m="1" x="425"/>
        <item m="1" x="764"/>
        <item m="1" x="351"/>
        <item m="1" x="680"/>
        <item m="1" x="183"/>
        <item m="1" x="175"/>
        <item m="1" x="669"/>
        <item m="1" x="207"/>
        <item m="1" x="674"/>
        <item m="1" x="516"/>
        <item m="1" x="33"/>
        <item m="1" x="334"/>
        <item m="1" x="19"/>
        <item m="1" x="495"/>
        <item m="1" x="483"/>
        <item m="1" x="789"/>
        <item m="1" x="368"/>
        <item m="1" x="512"/>
        <item m="1" x="244"/>
        <item m="1" x="622"/>
        <item m="1" x="550"/>
        <item m="1" x="427"/>
        <item m="1" x="540"/>
        <item m="1" x="627"/>
        <item m="1" x="362"/>
        <item m="1" x="498"/>
        <item m="1" x="506"/>
        <item m="1" x="153"/>
        <item m="1" x="219"/>
        <item m="1" x="302"/>
        <item m="1" x="763"/>
        <item m="1" x="364"/>
        <item m="1" x="736"/>
        <item m="1" x="41"/>
        <item m="1" x="618"/>
        <item m="1" x="742"/>
        <item m="1" x="35"/>
        <item m="1" x="556"/>
        <item m="1" x="40"/>
        <item m="1" x="16"/>
        <item m="1" x="541"/>
        <item m="1" x="108"/>
        <item m="1" x="499"/>
        <item m="1" x="212"/>
        <item m="1" x="400"/>
        <item m="1" x="37"/>
        <item m="1" x="77"/>
        <item m="1" x="782"/>
        <item m="1" x="596"/>
        <item m="1" x="605"/>
        <item m="1" x="530"/>
        <item m="1" x="748"/>
        <item m="1" x="221"/>
        <item m="1" x="170"/>
        <item m="1" x="171"/>
        <item m="1" x="172"/>
        <item m="1" x="173"/>
        <item m="1" x="350"/>
        <item m="1" x="507"/>
        <item m="1" x="704"/>
        <item m="1" x="335"/>
        <item m="1" x="366"/>
        <item m="1" x="401"/>
        <item m="1" x="92"/>
        <item m="1" x="724"/>
        <item m="1" x="360"/>
        <item m="1" x="306"/>
        <item m="1" x="217"/>
        <item m="1" x="787"/>
        <item m="1" x="131"/>
        <item m="1" x="328"/>
        <item m="1" x="431"/>
        <item m="1" x="18"/>
        <item m="1" x="2"/>
        <item m="1" x="225"/>
        <item m="1" x="652"/>
        <item m="1" x="711"/>
        <item m="1" x="613"/>
        <item m="1" x="561"/>
        <item m="1" x="730"/>
        <item m="1" x="290"/>
        <item m="1" x="323"/>
        <item m="1" x="732"/>
        <item m="1" x="715"/>
        <item m="1" x="105"/>
        <item m="1" x="355"/>
        <item m="1" x="257"/>
        <item m="1" x="71"/>
        <item m="1" x="587"/>
        <item m="1" x="233"/>
        <item m="1" x="496"/>
        <item m="1" x="383"/>
        <item m="1" x="86"/>
        <item m="1" x="479"/>
        <item m="1" x="405"/>
        <item m="1" x="270"/>
        <item m="1" x="461"/>
        <item m="1" x="51"/>
        <item m="1" x="480"/>
        <item m="1" x="604"/>
        <item m="1" x="133"/>
        <item m="1" x="726"/>
        <item m="1" x="341"/>
        <item m="1" x="369"/>
        <item m="1" x="52"/>
        <item m="1" x="17"/>
        <item m="1" x="689"/>
        <item m="1" x="617"/>
        <item m="1" x="419"/>
        <item m="1" x="449"/>
        <item m="1" x="526"/>
        <item m="1" x="542"/>
        <item m="1" x="532"/>
        <item m="1" x="727"/>
        <item m="1" x="755"/>
        <item m="1" x="421"/>
        <item m="1" x="294"/>
        <item m="1" x="547"/>
        <item m="1" x="751"/>
        <item m="1" x="602"/>
        <item m="1" x="773"/>
        <item m="1" x="123"/>
        <item m="1" x="147"/>
        <item m="1" x="194"/>
        <item m="1" x="459"/>
        <item m="1" x="11"/>
        <item m="1" x="413"/>
        <item m="1" x="176"/>
        <item m="1" x="643"/>
        <item m="1" x="435"/>
        <item m="1" x="262"/>
        <item m="1" x="548"/>
        <item m="1" x="113"/>
        <item m="1" x="750"/>
        <item m="1" x="654"/>
        <item m="1" x="662"/>
        <item m="1" x="143"/>
        <item m="1" x="621"/>
        <item m="1" x="567"/>
        <item m="1" x="430"/>
        <item m="1" x="452"/>
        <item m="1" x="451"/>
        <item m="1" x="197"/>
        <item m="1" x="240"/>
        <item m="1" x="557"/>
        <item m="1" x="595"/>
        <item m="1" x="577"/>
        <item m="1" x="70"/>
        <item m="1" x="279"/>
        <item m="1" x="501"/>
        <item m="1" x="55"/>
        <item m="1" x="89"/>
        <item m="1" x="650"/>
        <item m="1" x="158"/>
        <item m="1" x="63"/>
        <item m="1" x="713"/>
        <item m="1" x="517"/>
        <item m="1" x="703"/>
        <item m="1" x="193"/>
        <item m="1" x="716"/>
        <item m="1" x="62"/>
        <item m="1" x="754"/>
        <item m="1" x="3"/>
        <item m="1" x="762"/>
        <item m="1" x="545"/>
        <item m="1" x="728"/>
        <item m="1" x="374"/>
        <item m="1" x="236"/>
        <item m="1" x="583"/>
        <item m="1" x="634"/>
        <item m="1" x="740"/>
        <item m="1" x="144"/>
        <item m="1" x="223"/>
        <item m="1" x="720"/>
        <item m="1" x="330"/>
        <item m="1" x="396"/>
        <item m="1" x="249"/>
        <item m="1" x="592"/>
        <item m="1" x="403"/>
        <item m="1" x="386"/>
        <item m="1" x="229"/>
        <item m="1" x="665"/>
        <item m="1" x="50"/>
        <item m="1" x="31"/>
        <item m="1" x="429"/>
        <item m="1" x="343"/>
        <item m="1" x="436"/>
        <item m="1" x="357"/>
        <item m="1" x="774"/>
        <item m="1" x="610"/>
        <item m="1" x="237"/>
        <item m="1" x="597"/>
        <item m="1" x="189"/>
        <item m="1" x="27"/>
        <item m="1" x="492"/>
        <item m="1" x="260"/>
        <item m="1" x="795"/>
        <item m="1" x="394"/>
        <item m="1" x="538"/>
        <item m="1" x="354"/>
        <item m="1" x="22"/>
        <item m="1" x="432"/>
        <item m="1" x="473"/>
        <item m="1" x="760"/>
        <item m="1" x="746"/>
        <item m="1" x="99"/>
        <item m="1" x="5"/>
        <item m="1" x="224"/>
        <item m="1" x="339"/>
        <item m="1" x="379"/>
        <item m="1" x="140"/>
        <item m="1" x="564"/>
        <item m="1" x="666"/>
        <item m="1" x="414"/>
        <item m="1" x="485"/>
        <item m="1" x="337"/>
        <item m="1" x="463"/>
        <item m="1" x="375"/>
        <item m="1" x="397"/>
        <item m="1" x="363"/>
        <item m="1" x="43"/>
        <item m="1" x="6"/>
        <item m="1" x="169"/>
        <item m="1" x="182"/>
        <item m="1" x="146"/>
        <item m="1" x="235"/>
        <item m="1" x="137"/>
        <item m="1" x="82"/>
        <item m="1" x="735"/>
        <item m="1" x="484"/>
        <item m="1" x="138"/>
        <item m="1" x="272"/>
        <item m="1" x="58"/>
        <item m="1" x="693"/>
        <item m="1" x="472"/>
        <item m="1" x="85"/>
        <item m="1" x="340"/>
        <item m="1" x="734"/>
        <item m="1" x="511"/>
        <item m="1" x="332"/>
        <item m="1" x="691"/>
        <item m="1" x="248"/>
        <item m="1" x="619"/>
        <item m="1" x="576"/>
        <item m="1" x="381"/>
        <item m="1" x="122"/>
        <item m="1" x="574"/>
        <item m="1" x="179"/>
        <item m="1" x="242"/>
        <item m="1" x="250"/>
        <item m="1" x="97"/>
        <item m="1" x="700"/>
        <item m="1" x="445"/>
        <item m="1" x="546"/>
        <item m="1" x="673"/>
        <item m="1" x="478"/>
        <item x="0"/>
        <item t="default"/>
      </items>
    </pivotField>
    <pivotField numFmtId="164" showAll="0"/>
    <pivotField showAll="0"/>
    <pivotField showAll="0">
      <items count="4">
        <item x="0"/>
        <item m="1" x="1"/>
        <item m="1" x="2"/>
        <item t="default"/>
      </items>
    </pivotField>
    <pivotField showAll="0">
      <items count="6">
        <item x="0"/>
        <item m="1" x="1"/>
        <item m="1" x="2"/>
        <item m="1" x="3"/>
        <item m="1" x="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77">
        <item sd="0" x="0"/>
        <item sd="0" m="1" x="75"/>
        <item sd="0" m="1" x="22"/>
        <item sd="0" m="1" x="31"/>
        <item sd="0" m="1" x="25"/>
        <item sd="0" m="1" x="11"/>
        <item sd="0" m="1" x="60"/>
        <item sd="0" m="1" x="55"/>
        <item sd="0" m="1" x="28"/>
        <item sd="0" m="1" x="50"/>
        <item sd="0" m="1" x="56"/>
        <item sd="0" m="1" x="7"/>
        <item sd="0" m="1" x="12"/>
        <item sd="0" m="1" x="41"/>
        <item sd="0" m="1" x="23"/>
        <item sd="0" m="1" x="34"/>
        <item sd="0" m="1" x="33"/>
        <item sd="0" m="1" x="8"/>
        <item sd="0" m="1" x="46"/>
        <item sd="0" m="1" x="69"/>
        <item sd="0" m="1" x="30"/>
        <item sd="0" m="1" x="36"/>
        <item sd="0" m="1" x="16"/>
        <item sd="0" m="1" x="74"/>
        <item sd="0" m="1" x="40"/>
        <item sd="0" m="1" x="20"/>
        <item sd="0" m="1" x="5"/>
        <item sd="0" m="1" x="73"/>
        <item sd="0" m="1" x="70"/>
        <item sd="0" m="1" x="57"/>
        <item sd="0" m="1" x="26"/>
        <item sd="0" m="1" x="54"/>
        <item sd="0" m="1" x="9"/>
        <item sd="0" m="1" x="13"/>
        <item sd="0" m="1" x="4"/>
        <item sd="0" m="1" x="71"/>
        <item sd="0" m="1" x="62"/>
        <item sd="0" m="1" x="39"/>
        <item sd="0" m="1" x="42"/>
        <item sd="0" m="1" x="53"/>
        <item sd="0" m="1" x="21"/>
        <item sd="0" m="1" x="58"/>
        <item sd="0" m="1" x="18"/>
        <item sd="0" m="1" x="65"/>
        <item sd="0" m="1" x="59"/>
        <item sd="0" m="1" x="38"/>
        <item sd="0" m="1" x="49"/>
        <item sd="0" m="1" x="68"/>
        <item sd="0" m="1" x="35"/>
        <item sd="0" m="1" x="63"/>
        <item sd="0" m="1" x="66"/>
        <item sd="0" m="1" x="61"/>
        <item sd="0" m="1" x="29"/>
        <item sd="0" m="1" x="45"/>
        <item sd="0" m="1" x="48"/>
        <item sd="0" m="1" x="3"/>
        <item sd="0" m="1" x="2"/>
        <item sd="0" m="1" x="19"/>
        <item sd="0" m="1" x="67"/>
        <item sd="0" m="1" x="47"/>
        <item sd="0" m="1" x="72"/>
        <item sd="0" m="1" x="14"/>
        <item sd="0" m="1" x="6"/>
        <item sd="0" m="1" x="32"/>
        <item sd="0" m="1" x="27"/>
        <item sd="0" m="1" x="15"/>
        <item sd="0" m="1" x="64"/>
        <item sd="0" m="1" x="24"/>
        <item sd="0" m="1" x="43"/>
        <item sd="0" m="1" x="10"/>
        <item sd="0" m="1" x="52"/>
        <item sd="0" m="1" x="44"/>
        <item sd="0" m="1" x="37"/>
        <item sd="0" m="1" x="1"/>
        <item sd="0" m="1" x="17"/>
        <item sd="0" m="1" x="51"/>
        <item t="default" sd="0"/>
      </items>
    </pivotField>
    <pivotField showAll="0"/>
    <pivotField showAll="0"/>
    <pivotField axis="axisRow" showAll="0" insertBlankRow="1">
      <items count="20">
        <item m="1" x="2"/>
        <item m="1" x="11"/>
        <item m="1" x="9"/>
        <item m="1" x="4"/>
        <item m="1" x="16"/>
        <item m="1" x="10"/>
        <item m="1" x="6"/>
        <item m="1" x="1"/>
        <item m="1" x="3"/>
        <item m="1" x="13"/>
        <item m="1" x="14"/>
        <item m="1" x="17"/>
        <item m="1" x="8"/>
        <item m="1" x="7"/>
        <item m="1" x="15"/>
        <item m="1" x="5"/>
        <item m="1" x="12"/>
        <item x="0"/>
        <item m="1" x="18"/>
        <item t="default"/>
      </items>
    </pivotField>
    <pivotField showAll="0"/>
    <pivotField dataField="1" numFmtId="4" showAll="0"/>
  </pivotFields>
  <rowFields count="3">
    <field x="21"/>
    <field x="18"/>
    <field x="8"/>
  </rowFields>
  <rowItems count="4">
    <i>
      <x v="17"/>
    </i>
    <i r="1">
      <x/>
    </i>
    <i t="blank">
      <x v="17"/>
    </i>
    <i t="grand">
      <x/>
    </i>
  </rowItems>
  <colFields count="1">
    <field x="1"/>
  </colFields>
  <colItems count="1">
    <i>
      <x/>
    </i>
  </colItems>
  <dataFields count="1">
    <dataField name="Součet z zokrouhleno" fld="23" baseField="21" baseItem="1" numFmtId="3"/>
  </dataFields>
  <formats count="2">
    <format dxfId="65">
      <pivotArea type="all" dataOnly="0" outline="0" fieldPosition="0"/>
    </format>
    <format dxfId="64">
      <pivotArea outline="0" fieldPosition="0">
        <references count="1">
          <reference field="4294967294" count="1">
            <x v="0"/>
          </reference>
        </references>
      </pivotArea>
    </format>
  </formats>
  <pivotTableStyleInfo name="Tab 0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výkaz" sourceName="výkaz">
  <pivotTables>
    <pivotTable tabId="19" name="Kontingenční tabulka 1"/>
  </pivotTables>
  <data>
    <tabular pivotCacheId="1">
      <items count="3">
        <i x="0" s="1"/>
        <i x="1" s="1" nd="1"/>
        <i x="2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část" sourceName="část">
  <pivotTables>
    <pivotTable tabId="19" name="Kontingenční tabulka 1"/>
  </pivotTables>
  <data>
    <tabular pivotCacheId="1">
      <items count="5">
        <i x="0" s="1"/>
        <i x="1" s="1" nd="1"/>
        <i x="2" s="1" nd="1"/>
        <i x="3" s="1" nd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výkaz" cache="Průřez_výkaz" caption="výkaz" columnCount="3" style="CBA 01" rowHeight="180000"/>
  <slicer name="část" cache="Průřez_část" caption="část" columnCount="5" style="CBA 01" rowHeight="180000"/>
</slicers>
</file>

<file path=xl/tables/table1.xml><?xml version="1.0" encoding="utf-8"?>
<table xmlns="http://schemas.openxmlformats.org/spreadsheetml/2006/main" id="1" name="Tabulka1" displayName="Tabulka1" ref="B1:Y12" totalsRowShown="0" headerRowDxfId="94" dataDxfId="93" headerRowCellStyle="Normální 2" dataCellStyle="Normální 2">
  <autoFilter ref="B1:Y12"/>
  <tableColumns count="24">
    <tableColumn id="24" name="zdroj" dataDxfId="92" dataCellStyle="Normální 2"/>
    <tableColumn id="1" name="datum" dataDxfId="91" dataCellStyle="Normální 2"/>
    <tableColumn id="2" name="ucet" dataDxfId="90" dataCellStyle="Normální 2"/>
    <tableColumn id="3" name="ucet_an_nazev" dataDxfId="89" dataCellStyle="Normální 2"/>
    <tableColumn id="19" name="pocatecni zust" dataDxfId="88" dataCellStyle="Normální 2"/>
    <tableColumn id="21" name="obrat MD" dataDxfId="87" dataCellStyle="Normální 2"/>
    <tableColumn id="22" name="obrat D" dataDxfId="86" dataCellStyle="Normální 2"/>
    <tableColumn id="4" name="zustatek" dataDxfId="85" dataCellStyle="Normální 2"/>
    <tableColumn id="23" name="ucet_an_cislo_popis" dataDxfId="84" dataCellStyle="Normální 2">
      <calculatedColumnFormula>CONCATENATE(D2," ",E2)</calculatedColumnFormula>
    </tableColumn>
    <tableColumn id="5" name="uc_synt" dataDxfId="83" dataCellStyle="Normální 2">
      <calculatedColumnFormula>IF(I2=0,"-",VALUE(LEFT(D2,LEN(D2)-(INDEX!$C$14-3))))</calculatedColumnFormula>
    </tableColumn>
    <tableColumn id="13" name="uc_synt_popis" dataDxfId="82" dataCellStyle="Normální 2">
      <calculatedColumnFormula>IF(I2=0,"-",VLOOKUP(K2,ucty_synt!A:B,2,0))</calculatedColumnFormula>
    </tableColumn>
    <tableColumn id="6" name="výkaz" dataDxfId="81" dataCellStyle="Normální 2">
      <calculatedColumnFormula>IF(S2="-","-",VLOOKUP(K2,ucty_synt!A:O,3,0))</calculatedColumnFormula>
    </tableColumn>
    <tableColumn id="18" name="část" dataDxfId="80" dataCellStyle="Normální 2">
      <calculatedColumnFormula>IF(I2=0,"-",IF(M2="Rozvaha",VLOOKUP(S2,'řádky R'!A:M,6,0),IF(M2="Výsledovka",VLOOKUP(S2,'řádky V'!A:M,6,0),"-")))</calculatedColumnFormula>
    </tableColumn>
    <tableColumn id="7" name="ř_auto" dataDxfId="79" dataCellStyle="Normální 2">
      <calculatedColumnFormula>IF(I2=0,"-",IF(COUNTIF(ucty_synt!A:A,K2)=0,"účet n/a",IF(VLOOKUP(K2,ucty_synt!A:O,4,0)=RIGHT($P$1,5),"podle AÚ",IF(VLOOKUP(K2,ucty_synt!A:O,4,0)=RIGHT($Q$1,5),"podle SÚ",IF(SUMIF(ucty_synt!A:A,K2,ucty_synt!E:E)&lt;&gt;0,SUMIF(ucty_synt!A:A,K2,ucty_synt!E:E),"doplnit")))))</calculatedColumnFormula>
    </tableColumn>
    <tableColumn id="8" name="ř_A/P a" dataDxfId="78" dataCellStyle="Normální 2">
      <calculatedColumnFormula>IF(I2=0,"-",IF(VLOOKUP(K2,ucty_synt!A:O,4,0)=RIGHT($P$1,5),IF(SUMIFS(I:I,C:C,C2,D:D,D2)&gt;=0,SUMIF(ucty_synt!A:A,K2,ucty_synt!E:E),SUMIF(ucty_synt!A:A,K2,ucty_synt!J:J)),"-"))</calculatedColumnFormula>
    </tableColumn>
    <tableColumn id="9" name="ř_A/P s" dataDxfId="77" dataCellStyle="Normální 2">
      <calculatedColumnFormula>IF(I2=0,"-",IF(VLOOKUP(K2,ucty_synt!A:O,4,0)=RIGHT($Q$1,5),IF(SUMIFS(I:I,C:C,C2,K:K,K2)&gt;=0,SUMIF(ucty_synt!A:A,K2,ucty_synt!E:E),SUMIF(ucty_synt!A:A,K2,ucty_synt!J:J)),"-"))</calculatedColumnFormula>
    </tableColumn>
    <tableColumn id="10" name="ř_ručně" dataDxfId="76" dataCellStyle="Normální 2"/>
    <tableColumn id="11" name="ř_final" dataDxfId="75" dataCellStyle="Normální 2">
      <calculatedColumnFormula>IF(ISNUMBER(R2),R2,IF(ISNUMBER(Q2),Q2,IF(ISNUMBER(P2),P2,IF(ISNUMBER(O2),O2,"-"))))</calculatedColumnFormula>
    </tableColumn>
    <tableColumn id="12" name="ř_číslo_popis" dataDxfId="74" dataCellStyle="Normální 2">
      <calculatedColumnFormula>IF(S2="-","-",IF(M2="Rozvaha",VLOOKUP(S2,'řádky R'!A:M,12,0),IF(M2="Výsledovka",VLOOKUP(S2,'řádky V'!A:M,12,0),"-")))</calculatedColumnFormula>
    </tableColumn>
    <tableColumn id="14" name="id_1" dataDxfId="73" dataCellStyle="Normální 2">
      <calculatedColumnFormula>IF(I2=0,"-",IF(M2="Rozvaha",VLOOKUP(S2,'řádky R'!A:M,8,0),IF(M2="Výsledovka",VLOOKUP(S2,'řádky V'!A:M,8,0),"-")))</calculatedColumnFormula>
    </tableColumn>
    <tableColumn id="15" name="id_2" dataDxfId="72" dataCellStyle="Normální 2">
      <calculatedColumnFormula>IF(I2=0,"-",IF(M2="Rozvaha",VLOOKUP(S2,'řádky R'!A:M,9,0),IF(M2="Výsledovka",VLOOKUP(S2,'řádky V'!A:M,9,0),"-")))</calculatedColumnFormula>
    </tableColumn>
    <tableColumn id="20" name="id_skupina" dataDxfId="71" dataCellStyle="Normální 2">
      <calculatedColumnFormula>IF(I2=0,"-",IF(M2="Rozvaha",VLOOKUP(S2,'řádky R'!A:M,11,0),IF(M2="Výsledovka",VLOOKUP(S2,'řádky V'!A:M,11,0),"-")))</calculatedColumnFormula>
    </tableColumn>
    <tableColumn id="16" name="typ sloupce" dataDxfId="70" dataCellStyle="Normální 2">
      <calculatedColumnFormula>IF(I2=0,"-",VLOOKUP(K2,ucty_synt!A:O,15,0))</calculatedColumnFormula>
    </tableColumn>
    <tableColumn id="17" name="zokrouhleno" dataDxfId="69" dataCellStyle="Normální 2">
      <calculatedColumnFormula>I2/zaokr</calculatedColumnFormula>
    </tableColumn>
  </tableColumns>
  <tableStyleInfo name="Tab 0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I116"/>
  <sheetViews>
    <sheetView showGridLines="0" showRowColHeaders="0" tabSelected="1" workbookViewId="0"/>
  </sheetViews>
  <sheetFormatPr defaultRowHeight="12.75" outlineLevelRow="1" x14ac:dyDescent="0.2"/>
  <cols>
    <col min="1" max="1" width="1.7109375" style="117" customWidth="1"/>
    <col min="2" max="2" width="96.28515625" style="373" customWidth="1"/>
    <col min="3" max="3" width="9.140625" style="117" customWidth="1"/>
    <col min="4" max="7" width="9.140625" style="117"/>
    <col min="8" max="8" width="9.140625" style="118"/>
    <col min="9" max="9" width="2.140625" style="117" customWidth="1"/>
    <col min="10" max="16384" width="9.140625" style="117"/>
  </cols>
  <sheetData>
    <row r="1" spans="2:9" ht="18.75" x14ac:dyDescent="0.2">
      <c r="B1" s="120" t="s">
        <v>829</v>
      </c>
      <c r="C1" s="119"/>
      <c r="D1" s="119"/>
      <c r="E1" s="119"/>
      <c r="F1" s="119"/>
      <c r="G1" s="119"/>
      <c r="H1" s="119"/>
      <c r="I1" s="119"/>
    </row>
    <row r="2" spans="2:9" x14ac:dyDescent="0.2">
      <c r="H2" s="117"/>
    </row>
    <row r="3" spans="2:9" x14ac:dyDescent="0.2">
      <c r="B3" s="413" t="s">
        <v>830</v>
      </c>
      <c r="C3" s="413"/>
      <c r="D3" s="413"/>
      <c r="E3" s="413"/>
      <c r="F3" s="413"/>
      <c r="G3" s="413"/>
      <c r="H3" s="413"/>
      <c r="I3" s="413"/>
    </row>
    <row r="4" spans="2:9" x14ac:dyDescent="0.2">
      <c r="B4" s="373" t="s">
        <v>831</v>
      </c>
      <c r="H4" s="117"/>
    </row>
    <row r="5" spans="2:9" x14ac:dyDescent="0.2">
      <c r="B5" s="373" t="s">
        <v>832</v>
      </c>
      <c r="H5" s="117"/>
    </row>
    <row r="6" spans="2:9" x14ac:dyDescent="0.2">
      <c r="B6" s="373" t="s">
        <v>833</v>
      </c>
      <c r="H6" s="117"/>
    </row>
    <row r="7" spans="2:9" x14ac:dyDescent="0.2">
      <c r="B7" s="373" t="s">
        <v>834</v>
      </c>
      <c r="H7" s="117"/>
    </row>
    <row r="8" spans="2:9" x14ac:dyDescent="0.2">
      <c r="B8" s="373" t="s">
        <v>835</v>
      </c>
      <c r="H8" s="117"/>
    </row>
    <row r="9" spans="2:9" x14ac:dyDescent="0.2">
      <c r="B9" s="373" t="s">
        <v>836</v>
      </c>
      <c r="H9" s="117"/>
    </row>
    <row r="10" spans="2:9" x14ac:dyDescent="0.2">
      <c r="H10" s="117"/>
    </row>
    <row r="11" spans="2:9" ht="27" customHeight="1" x14ac:dyDescent="0.2">
      <c r="B11" s="414" t="s">
        <v>856</v>
      </c>
      <c r="C11" s="414"/>
      <c r="D11" s="414"/>
      <c r="E11" s="414"/>
      <c r="F11" s="414"/>
      <c r="G11" s="414"/>
      <c r="H11" s="414"/>
    </row>
    <row r="13" spans="2:9" ht="15.75" collapsed="1" x14ac:dyDescent="0.2">
      <c r="B13" s="121" t="str">
        <f>B4</f>
        <v>1. Vyplnění základní identifikačních údajů účetní jednotky.</v>
      </c>
      <c r="C13" s="115"/>
      <c r="D13" s="115"/>
      <c r="E13" s="115"/>
      <c r="F13" s="115"/>
      <c r="G13" s="115"/>
      <c r="H13" s="116" t="s">
        <v>837</v>
      </c>
      <c r="I13" s="115"/>
    </row>
    <row r="14" spans="2:9" hidden="1" outlineLevel="1" x14ac:dyDescent="0.2">
      <c r="B14" s="122"/>
    </row>
    <row r="15" spans="2:9" hidden="1" outlineLevel="1" x14ac:dyDescent="0.2">
      <c r="B15" s="122" t="s">
        <v>838</v>
      </c>
    </row>
    <row r="16" spans="2:9" hidden="1" outlineLevel="1" x14ac:dyDescent="0.2">
      <c r="B16" s="122"/>
    </row>
    <row r="17" spans="2:9" ht="25.5" hidden="1" outlineLevel="1" x14ac:dyDescent="0.2">
      <c r="B17" s="122" t="s">
        <v>887</v>
      </c>
    </row>
    <row r="18" spans="2:9" hidden="1" outlineLevel="1" x14ac:dyDescent="0.2">
      <c r="B18" s="122"/>
    </row>
    <row r="19" spans="2:9" hidden="1" outlineLevel="1" x14ac:dyDescent="0.2">
      <c r="B19" s="122" t="s">
        <v>839</v>
      </c>
    </row>
    <row r="20" spans="2:9" ht="25.5" hidden="1" outlineLevel="1" x14ac:dyDescent="0.2">
      <c r="B20" s="122" t="s">
        <v>840</v>
      </c>
    </row>
    <row r="21" spans="2:9" ht="25.5" hidden="1" outlineLevel="1" x14ac:dyDescent="0.2">
      <c r="B21" s="123" t="s">
        <v>888</v>
      </c>
    </row>
    <row r="22" spans="2:9" hidden="1" outlineLevel="1" x14ac:dyDescent="0.2">
      <c r="B22" s="122"/>
    </row>
    <row r="23" spans="2:9" hidden="1" outlineLevel="1" x14ac:dyDescent="0.2">
      <c r="B23" s="122" t="s">
        <v>841</v>
      </c>
    </row>
    <row r="24" spans="2:9" ht="25.5" hidden="1" outlineLevel="1" x14ac:dyDescent="0.2">
      <c r="B24" s="123" t="s">
        <v>889</v>
      </c>
    </row>
    <row r="25" spans="2:9" hidden="1" outlineLevel="1" x14ac:dyDescent="0.2">
      <c r="B25" s="122"/>
    </row>
    <row r="26" spans="2:9" ht="38.25" hidden="1" outlineLevel="1" x14ac:dyDescent="0.2">
      <c r="B26" s="122" t="s">
        <v>922</v>
      </c>
    </row>
    <row r="28" spans="2:9" ht="15.75" collapsed="1" x14ac:dyDescent="0.2">
      <c r="B28" s="121" t="str">
        <f>B5</f>
        <v>2. Vložení obratové předvahy za vybraná období.</v>
      </c>
      <c r="C28" s="115"/>
      <c r="D28" s="115"/>
      <c r="E28" s="115"/>
      <c r="F28" s="115"/>
      <c r="G28" s="115"/>
      <c r="H28" s="116" t="s">
        <v>844</v>
      </c>
      <c r="I28" s="115"/>
    </row>
    <row r="29" spans="2:9" hidden="1" outlineLevel="1" x14ac:dyDescent="0.2">
      <c r="B29" s="122"/>
    </row>
    <row r="30" spans="2:9" hidden="1" outlineLevel="1" x14ac:dyDescent="0.2">
      <c r="B30" s="124" t="s">
        <v>893</v>
      </c>
    </row>
    <row r="31" spans="2:9" hidden="1" outlineLevel="1" x14ac:dyDescent="0.2">
      <c r="B31" s="126" t="s">
        <v>894</v>
      </c>
    </row>
    <row r="32" spans="2:9" ht="38.25" hidden="1" outlineLevel="1" x14ac:dyDescent="0.2">
      <c r="B32" s="254" t="s">
        <v>900</v>
      </c>
    </row>
    <row r="33" spans="2:9" hidden="1" outlineLevel="1" x14ac:dyDescent="0.2">
      <c r="B33" s="254" t="s">
        <v>899</v>
      </c>
    </row>
    <row r="34" spans="2:9" hidden="1" outlineLevel="1" x14ac:dyDescent="0.2">
      <c r="B34" s="254" t="s">
        <v>898</v>
      </c>
    </row>
    <row r="35" spans="2:9" hidden="1" outlineLevel="1" x14ac:dyDescent="0.2">
      <c r="B35" s="254" t="s">
        <v>897</v>
      </c>
    </row>
    <row r="36" spans="2:9" hidden="1" outlineLevel="1" x14ac:dyDescent="0.2">
      <c r="B36" s="254" t="s">
        <v>896</v>
      </c>
    </row>
    <row r="37" spans="2:9" hidden="1" outlineLevel="1" x14ac:dyDescent="0.2">
      <c r="B37" s="126" t="s">
        <v>895</v>
      </c>
    </row>
    <row r="38" spans="2:9" ht="38.25" hidden="1" customHeight="1" outlineLevel="1" x14ac:dyDescent="0.2">
      <c r="B38" s="122"/>
    </row>
    <row r="39" spans="2:9" hidden="1" outlineLevel="1" x14ac:dyDescent="0.2">
      <c r="B39" s="371" t="s">
        <v>912</v>
      </c>
    </row>
    <row r="40" spans="2:9" hidden="1" outlineLevel="1" x14ac:dyDescent="0.2">
      <c r="B40" s="371" t="s">
        <v>892</v>
      </c>
    </row>
    <row r="41" spans="2:9" hidden="1" outlineLevel="1" x14ac:dyDescent="0.2">
      <c r="B41" s="122"/>
    </row>
    <row r="42" spans="2:9" hidden="1" outlineLevel="1" x14ac:dyDescent="0.2">
      <c r="B42" s="122" t="s">
        <v>859</v>
      </c>
    </row>
    <row r="43" spans="2:9" hidden="1" outlineLevel="1" x14ac:dyDescent="0.2">
      <c r="B43" s="123" t="s">
        <v>845</v>
      </c>
    </row>
    <row r="44" spans="2:9" hidden="1" outlineLevel="1" x14ac:dyDescent="0.2">
      <c r="B44" s="123" t="s">
        <v>846</v>
      </c>
    </row>
    <row r="45" spans="2:9" hidden="1" outlineLevel="1" x14ac:dyDescent="0.2">
      <c r="B45" s="122"/>
    </row>
    <row r="46" spans="2:9" hidden="1" outlineLevel="1" x14ac:dyDescent="0.2">
      <c r="B46" s="124" t="s">
        <v>847</v>
      </c>
    </row>
    <row r="48" spans="2:9" ht="15.75" collapsed="1" x14ac:dyDescent="0.2">
      <c r="B48" s="121" t="str">
        <f>B6</f>
        <v>3. Doplnění nestandardních úprav a tzv. reklasifikací.</v>
      </c>
      <c r="C48" s="115"/>
      <c r="D48" s="115"/>
      <c r="E48" s="115"/>
      <c r="F48" s="115"/>
      <c r="G48" s="115"/>
      <c r="H48" s="116" t="s">
        <v>844</v>
      </c>
      <c r="I48" s="115"/>
    </row>
    <row r="49" spans="2:9" hidden="1" outlineLevel="1" x14ac:dyDescent="0.2">
      <c r="B49" s="122"/>
    </row>
    <row r="50" spans="2:9" hidden="1" outlineLevel="1" x14ac:dyDescent="0.2">
      <c r="B50" s="124" t="s">
        <v>857</v>
      </c>
    </row>
    <row r="51" spans="2:9" hidden="1" outlineLevel="1" x14ac:dyDescent="0.2">
      <c r="B51" s="124" t="s">
        <v>858</v>
      </c>
    </row>
    <row r="52" spans="2:9" hidden="1" outlineLevel="1" x14ac:dyDescent="0.2">
      <c r="B52" s="124"/>
    </row>
    <row r="53" spans="2:9" hidden="1" outlineLevel="1" x14ac:dyDescent="0.2">
      <c r="B53" s="124" t="s">
        <v>848</v>
      </c>
    </row>
    <row r="54" spans="2:9" hidden="1" outlineLevel="1" x14ac:dyDescent="0.2">
      <c r="B54" s="124" t="s">
        <v>849</v>
      </c>
    </row>
    <row r="55" spans="2:9" hidden="1" outlineLevel="1" x14ac:dyDescent="0.2">
      <c r="B55" s="124" t="s">
        <v>850</v>
      </c>
    </row>
    <row r="56" spans="2:9" hidden="1" outlineLevel="1" x14ac:dyDescent="0.2">
      <c r="B56" s="124" t="s">
        <v>851</v>
      </c>
    </row>
    <row r="57" spans="2:9" hidden="1" outlineLevel="1" x14ac:dyDescent="0.2">
      <c r="B57" s="124" t="s">
        <v>852</v>
      </c>
    </row>
    <row r="58" spans="2:9" hidden="1" outlineLevel="1" x14ac:dyDescent="0.2">
      <c r="B58" s="125" t="s">
        <v>853</v>
      </c>
    </row>
    <row r="60" spans="2:9" ht="15.75" collapsed="1" x14ac:dyDescent="0.2">
      <c r="B60" s="121" t="str">
        <f>B7</f>
        <v>4. Ruční přiřazení vybraných účtů do řádků účetních výkazů.</v>
      </c>
      <c r="C60" s="115"/>
      <c r="D60" s="115"/>
      <c r="E60" s="115"/>
      <c r="F60" s="115"/>
      <c r="G60" s="115"/>
      <c r="H60" s="116" t="s">
        <v>844</v>
      </c>
      <c r="I60" s="115"/>
    </row>
    <row r="61" spans="2:9" hidden="1" outlineLevel="1" x14ac:dyDescent="0.2">
      <c r="B61" s="122"/>
    </row>
    <row r="62" spans="2:9" hidden="1" outlineLevel="1" x14ac:dyDescent="0.2">
      <c r="B62" s="124" t="s">
        <v>854</v>
      </c>
    </row>
    <row r="63" spans="2:9" hidden="1" outlineLevel="1" x14ac:dyDescent="0.2">
      <c r="B63" s="124" t="s">
        <v>855</v>
      </c>
    </row>
    <row r="64" spans="2:9" hidden="1" outlineLevel="1" x14ac:dyDescent="0.2">
      <c r="B64" s="127" t="s">
        <v>861</v>
      </c>
    </row>
    <row r="65" spans="2:9" hidden="1" outlineLevel="1" x14ac:dyDescent="0.2">
      <c r="B65" s="126" t="s">
        <v>901</v>
      </c>
    </row>
    <row r="66" spans="2:9" hidden="1" outlineLevel="1" x14ac:dyDescent="0.2">
      <c r="B66" s="126" t="s">
        <v>860</v>
      </c>
    </row>
    <row r="67" spans="2:9" hidden="1" outlineLevel="1" x14ac:dyDescent="0.2">
      <c r="B67" s="124"/>
    </row>
    <row r="68" spans="2:9" hidden="1" outlineLevel="1" x14ac:dyDescent="0.2">
      <c r="B68" s="124" t="s">
        <v>902</v>
      </c>
    </row>
    <row r="69" spans="2:9" hidden="1" outlineLevel="1" x14ac:dyDescent="0.2">
      <c r="B69" s="124" t="s">
        <v>903</v>
      </c>
    </row>
    <row r="70" spans="2:9" hidden="1" outlineLevel="1" x14ac:dyDescent="0.2">
      <c r="B70" s="128" t="s">
        <v>861</v>
      </c>
    </row>
    <row r="71" spans="2:9" hidden="1" outlineLevel="1" x14ac:dyDescent="0.2">
      <c r="B71" s="126" t="s">
        <v>862</v>
      </c>
    </row>
    <row r="72" spans="2:9" hidden="1" outlineLevel="1" x14ac:dyDescent="0.2">
      <c r="B72" s="126" t="s">
        <v>864</v>
      </c>
    </row>
    <row r="73" spans="2:9" hidden="1" outlineLevel="1" x14ac:dyDescent="0.2">
      <c r="B73" s="126" t="s">
        <v>863</v>
      </c>
    </row>
    <row r="74" spans="2:9" hidden="1" outlineLevel="1" x14ac:dyDescent="0.2">
      <c r="B74" s="124" t="s">
        <v>904</v>
      </c>
    </row>
    <row r="75" spans="2:9" hidden="1" outlineLevel="1" x14ac:dyDescent="0.2">
      <c r="B75" s="127" t="s">
        <v>861</v>
      </c>
    </row>
    <row r="76" spans="2:9" ht="12.75" hidden="1" customHeight="1" outlineLevel="1" x14ac:dyDescent="0.2">
      <c r="B76" s="126" t="s">
        <v>913</v>
      </c>
      <c r="C76" s="126"/>
      <c r="D76" s="126"/>
      <c r="E76" s="126"/>
      <c r="F76" s="126"/>
      <c r="G76" s="126"/>
    </row>
    <row r="77" spans="2:9" ht="12.75" hidden="1" customHeight="1" outlineLevel="1" x14ac:dyDescent="0.2">
      <c r="B77" s="126" t="s">
        <v>914</v>
      </c>
      <c r="C77" s="374"/>
      <c r="D77" s="374"/>
      <c r="E77" s="374"/>
      <c r="F77" s="374"/>
      <c r="G77" s="374"/>
    </row>
    <row r="78" spans="2:9" hidden="1" outlineLevel="1" x14ac:dyDescent="0.2">
      <c r="B78" s="124"/>
    </row>
    <row r="79" spans="2:9" hidden="1" outlineLevel="1" x14ac:dyDescent="0.2">
      <c r="B79" s="124" t="s">
        <v>915</v>
      </c>
    </row>
    <row r="80" spans="2:9" hidden="1" outlineLevel="1" x14ac:dyDescent="0.2">
      <c r="B80" s="124" t="s">
        <v>916</v>
      </c>
      <c r="C80" s="124"/>
      <c r="D80" s="124"/>
      <c r="E80" s="124"/>
      <c r="F80" s="124"/>
      <c r="G80" s="124"/>
      <c r="H80" s="124"/>
      <c r="I80" s="124"/>
    </row>
    <row r="81" spans="2:9" hidden="1" outlineLevel="1" x14ac:dyDescent="0.2">
      <c r="B81" s="124" t="s">
        <v>917</v>
      </c>
      <c r="C81" s="375"/>
      <c r="D81" s="375"/>
      <c r="E81" s="375"/>
      <c r="F81" s="375"/>
      <c r="G81" s="375"/>
      <c r="H81" s="375"/>
      <c r="I81" s="375"/>
    </row>
    <row r="83" spans="2:9" ht="15.75" collapsed="1" x14ac:dyDescent="0.2">
      <c r="B83" s="121" t="str">
        <f>B8</f>
        <v>5. Kontrola a úprava zaokrouhlení.</v>
      </c>
      <c r="C83" s="115"/>
      <c r="D83" s="115"/>
      <c r="E83" s="115"/>
      <c r="F83" s="115"/>
      <c r="G83" s="115"/>
      <c r="H83" s="116" t="s">
        <v>837</v>
      </c>
      <c r="I83" s="115"/>
    </row>
    <row r="84" spans="2:9" ht="12.75" hidden="1" customHeight="1" outlineLevel="1" x14ac:dyDescent="0.2">
      <c r="B84" s="122"/>
    </row>
    <row r="85" spans="2:9" ht="12.75" hidden="1" customHeight="1" outlineLevel="1" x14ac:dyDescent="0.2">
      <c r="B85" s="124" t="s">
        <v>865</v>
      </c>
    </row>
    <row r="86" spans="2:9" ht="12.75" hidden="1" customHeight="1" outlineLevel="1" x14ac:dyDescent="0.2">
      <c r="B86" s="122" t="s">
        <v>866</v>
      </c>
    </row>
    <row r="87" spans="2:9" ht="12.75" hidden="1" customHeight="1" outlineLevel="1" x14ac:dyDescent="0.2">
      <c r="B87" s="122"/>
    </row>
    <row r="88" spans="2:9" ht="12.75" hidden="1" customHeight="1" outlineLevel="1" x14ac:dyDescent="0.2">
      <c r="B88" s="372" t="s">
        <v>905</v>
      </c>
    </row>
    <row r="89" spans="2:9" ht="12.75" hidden="1" customHeight="1" outlineLevel="1" x14ac:dyDescent="0.2">
      <c r="B89" s="122" t="s">
        <v>906</v>
      </c>
    </row>
    <row r="90" spans="2:9" ht="12.75" hidden="1" customHeight="1" outlineLevel="1" x14ac:dyDescent="0.2">
      <c r="B90" s="122"/>
    </row>
    <row r="91" spans="2:9" ht="12.75" hidden="1" customHeight="1" outlineLevel="1" x14ac:dyDescent="0.2">
      <c r="B91" s="122" t="s">
        <v>907</v>
      </c>
    </row>
    <row r="92" spans="2:9" ht="12.75" hidden="1" customHeight="1" outlineLevel="1" x14ac:dyDescent="0.2">
      <c r="B92" s="254" t="s">
        <v>908</v>
      </c>
    </row>
    <row r="93" spans="2:9" ht="12.75" hidden="1" customHeight="1" outlineLevel="1" x14ac:dyDescent="0.2">
      <c r="B93" s="122"/>
    </row>
    <row r="94" spans="2:9" ht="12.75" hidden="1" customHeight="1" outlineLevel="1" x14ac:dyDescent="0.2">
      <c r="B94" s="122"/>
    </row>
    <row r="95" spans="2:9" ht="12.75" hidden="1" customHeight="1" outlineLevel="1" x14ac:dyDescent="0.2">
      <c r="B95" s="122"/>
    </row>
    <row r="96" spans="2:9" ht="12.75" hidden="1" customHeight="1" outlineLevel="1" x14ac:dyDescent="0.2">
      <c r="B96" s="124" t="s">
        <v>918</v>
      </c>
    </row>
    <row r="97" spans="2:2" s="117" customFormat="1" ht="12.75" hidden="1" customHeight="1" outlineLevel="1" x14ac:dyDescent="0.2">
      <c r="B97" s="124" t="s">
        <v>919</v>
      </c>
    </row>
    <row r="98" spans="2:2" s="117" customFormat="1" ht="12.75" hidden="1" customHeight="1" outlineLevel="1" x14ac:dyDescent="0.2">
      <c r="B98" s="124" t="s">
        <v>910</v>
      </c>
    </row>
    <row r="99" spans="2:2" s="117" customFormat="1" ht="12.75" hidden="1" customHeight="1" outlineLevel="1" x14ac:dyDescent="0.2">
      <c r="B99" s="122"/>
    </row>
    <row r="100" spans="2:2" s="117" customFormat="1" ht="12.75" hidden="1" customHeight="1" outlineLevel="1" x14ac:dyDescent="0.2">
      <c r="B100" s="372" t="s">
        <v>909</v>
      </c>
    </row>
    <row r="101" spans="2:2" s="117" customFormat="1" ht="12.75" hidden="1" customHeight="1" outlineLevel="1" x14ac:dyDescent="0.2">
      <c r="B101" s="122"/>
    </row>
    <row r="102" spans="2:2" s="117" customFormat="1" ht="12.75" hidden="1" customHeight="1" outlineLevel="1" x14ac:dyDescent="0.2">
      <c r="B102" s="124" t="s">
        <v>870</v>
      </c>
    </row>
    <row r="103" spans="2:2" s="117" customFormat="1" ht="12.75" hidden="1" customHeight="1" outlineLevel="1" x14ac:dyDescent="0.2">
      <c r="B103" s="124" t="s">
        <v>871</v>
      </c>
    </row>
    <row r="104" spans="2:2" s="117" customFormat="1" ht="12.75" hidden="1" customHeight="1" outlineLevel="1" x14ac:dyDescent="0.2">
      <c r="B104" s="122"/>
    </row>
    <row r="105" spans="2:2" s="117" customFormat="1" ht="12.75" hidden="1" customHeight="1" outlineLevel="1" x14ac:dyDescent="0.2">
      <c r="B105" s="124" t="s">
        <v>867</v>
      </c>
    </row>
    <row r="106" spans="2:2" s="117" customFormat="1" ht="12.75" hidden="1" customHeight="1" outlineLevel="1" x14ac:dyDescent="0.2">
      <c r="B106" s="124" t="s">
        <v>868</v>
      </c>
    </row>
    <row r="107" spans="2:2" s="117" customFormat="1" ht="12.75" hidden="1" customHeight="1" outlineLevel="1" x14ac:dyDescent="0.2">
      <c r="B107" s="124" t="s">
        <v>869</v>
      </c>
    </row>
    <row r="108" spans="2:2" s="117" customFormat="1" ht="12.75" hidden="1" customHeight="1" outlineLevel="1" x14ac:dyDescent="0.2">
      <c r="B108" s="124" t="s">
        <v>872</v>
      </c>
    </row>
    <row r="109" spans="2:2" s="117" customFormat="1" ht="12.75" hidden="1" customHeight="1" outlineLevel="1" x14ac:dyDescent="0.2">
      <c r="B109" s="124" t="s">
        <v>876</v>
      </c>
    </row>
    <row r="110" spans="2:2" s="117" customFormat="1" ht="12.75" hidden="1" customHeight="1" outlineLevel="1" x14ac:dyDescent="0.2">
      <c r="B110" s="122" t="s">
        <v>873</v>
      </c>
    </row>
    <row r="111" spans="2:2" s="117" customFormat="1" ht="12.75" hidden="1" customHeight="1" outlineLevel="1" x14ac:dyDescent="0.2">
      <c r="B111" s="122" t="s">
        <v>874</v>
      </c>
    </row>
    <row r="112" spans="2:2" s="117" customFormat="1" ht="12.75" hidden="1" customHeight="1" outlineLevel="1" x14ac:dyDescent="0.2">
      <c r="B112" s="254" t="s">
        <v>875</v>
      </c>
    </row>
    <row r="113" spans="2:2" s="117" customFormat="1" ht="12.75" hidden="1" customHeight="1" outlineLevel="1" x14ac:dyDescent="0.2">
      <c r="B113" s="122"/>
    </row>
    <row r="114" spans="2:2" s="117" customFormat="1" ht="12.75" hidden="1" customHeight="1" outlineLevel="1" x14ac:dyDescent="0.2">
      <c r="B114" s="122"/>
    </row>
    <row r="115" spans="2:2" s="117" customFormat="1" ht="12.75" hidden="1" customHeight="1" outlineLevel="1" x14ac:dyDescent="0.2">
      <c r="B115" s="373"/>
    </row>
    <row r="116" spans="2:2" s="117" customFormat="1" x14ac:dyDescent="0.2">
      <c r="B116" s="373"/>
    </row>
  </sheetData>
  <mergeCells count="2">
    <mergeCell ref="B3:I3"/>
    <mergeCell ref="B11:H11"/>
  </mergeCells>
  <pageMargins left="0.39370078740157483" right="0.39370078740157483" top="0.39370078740157483" bottom="0.39370078740157483" header="0" footer="0"/>
  <pageSetup paperSize="9" scale="91" orientation="landscape" r:id="rId1"/>
  <headerFooter scaleWithDoc="0" alignWithMargins="0">
    <oddFooter>&amp;L&amp;G&amp;C&amp;"-,Obyčejné"&amp;8&amp;K00-049Tisk: &amp;D &amp;T&amp;R&amp;"-,Obyčejné"&amp;8&amp;K00-049&amp;F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2"/>
  <sheetViews>
    <sheetView workbookViewId="0">
      <pane ySplit="1" topLeftCell="A2" activePane="bottomLeft" state="frozen"/>
      <selection activeCell="B139" sqref="B139"/>
      <selection pane="bottomLeft"/>
    </sheetView>
  </sheetViews>
  <sheetFormatPr defaultRowHeight="11.25" outlineLevelCol="1" x14ac:dyDescent="0.2"/>
  <cols>
    <col min="1" max="1" width="4" style="408" bestFit="1" customWidth="1"/>
    <col min="2" max="2" width="45.140625" style="409" bestFit="1" customWidth="1" collapsed="1"/>
    <col min="3" max="4" width="45.140625" style="409" hidden="1" customWidth="1" outlineLevel="1"/>
    <col min="5" max="6" width="8.5703125" style="410" bestFit="1" customWidth="1"/>
    <col min="7" max="7" width="4.5703125" style="410" customWidth="1"/>
    <col min="8" max="8" width="3" style="409" bestFit="1" customWidth="1"/>
    <col min="9" max="9" width="3.140625" style="409" bestFit="1" customWidth="1"/>
    <col min="10" max="10" width="4" style="411" bestFit="1" customWidth="1"/>
    <col min="11" max="11" width="23.7109375" style="411" bestFit="1" customWidth="1"/>
    <col min="12" max="12" width="17.85546875" style="411" bestFit="1" customWidth="1"/>
    <col min="13" max="13" width="62.140625" style="405" bestFit="1" customWidth="1"/>
    <col min="14" max="14" width="9.140625" style="406"/>
    <col min="15" max="18" width="9.140625" style="407"/>
    <col min="19" max="16384" width="9.140625" style="406"/>
  </cols>
  <sheetData>
    <row r="1" spans="1:13" x14ac:dyDescent="0.2">
      <c r="A1" s="401" t="s">
        <v>293</v>
      </c>
      <c r="B1" s="402" t="s">
        <v>357</v>
      </c>
      <c r="C1" s="402" t="s">
        <v>358</v>
      </c>
      <c r="D1" s="402" t="s">
        <v>359</v>
      </c>
      <c r="E1" s="403" t="s">
        <v>268</v>
      </c>
      <c r="F1" s="403" t="s">
        <v>805</v>
      </c>
      <c r="G1" s="403" t="s">
        <v>308</v>
      </c>
      <c r="H1" s="402" t="s">
        <v>269</v>
      </c>
      <c r="I1" s="402" t="s">
        <v>270</v>
      </c>
      <c r="J1" s="404" t="s">
        <v>271</v>
      </c>
      <c r="K1" s="405" t="s">
        <v>464</v>
      </c>
      <c r="L1" s="405" t="s">
        <v>465</v>
      </c>
      <c r="M1" s="405" t="s">
        <v>811</v>
      </c>
    </row>
    <row r="2" spans="1:13" x14ac:dyDescent="0.2">
      <c r="A2" s="408">
        <v>1</v>
      </c>
      <c r="B2" s="409" t="s">
        <v>382</v>
      </c>
      <c r="C2" s="409" t="s">
        <v>684</v>
      </c>
      <c r="D2" s="409" t="s">
        <v>725</v>
      </c>
      <c r="E2" s="410" t="s">
        <v>803</v>
      </c>
      <c r="F2" s="410" t="s">
        <v>806</v>
      </c>
      <c r="G2" s="410" t="s">
        <v>446</v>
      </c>
      <c r="H2" s="409" t="s">
        <v>276</v>
      </c>
      <c r="K2" s="406" t="s">
        <v>878</v>
      </c>
      <c r="L2" s="406" t="str">
        <f>IF(ISBLANK(G2),"-",CONCATENATE(TEXT(A2,"000")," ",B2))</f>
        <v xml:space="preserve">001 Tržby za prodej zboží </v>
      </c>
      <c r="M2" s="405" t="str">
        <f t="shared" ref="M2:M33" si="0">IF(jazyk="česky",B2,IF(jazyk="anglicky",C2,IF(jazyk="německy",D2,"-")))</f>
        <v xml:space="preserve">Tržby za prodej zboží </v>
      </c>
    </row>
    <row r="3" spans="1:13" x14ac:dyDescent="0.2">
      <c r="A3" s="408">
        <v>2</v>
      </c>
      <c r="B3" s="409" t="s">
        <v>383</v>
      </c>
      <c r="C3" s="409" t="s">
        <v>685</v>
      </c>
      <c r="D3" s="409" t="s">
        <v>726</v>
      </c>
      <c r="E3" s="410" t="s">
        <v>803</v>
      </c>
      <c r="F3" s="410" t="s">
        <v>804</v>
      </c>
      <c r="G3" s="410" t="s">
        <v>446</v>
      </c>
      <c r="H3" s="409" t="s">
        <v>274</v>
      </c>
      <c r="K3" s="406" t="s">
        <v>878</v>
      </c>
      <c r="L3" s="406" t="str">
        <f t="shared" ref="L3:L62" si="1">IF(ISBLANK(G3),"-",CONCATENATE(TEXT(A3,"000")," ",B3))</f>
        <v>002 Náklady vynaložené na prodané zboží</v>
      </c>
      <c r="M3" s="405" t="str">
        <f t="shared" si="0"/>
        <v>Náklady vynaložené na prodané zboží</v>
      </c>
    </row>
    <row r="4" spans="1:13" x14ac:dyDescent="0.2">
      <c r="A4" s="408">
        <v>3</v>
      </c>
      <c r="B4" s="409" t="s">
        <v>384</v>
      </c>
      <c r="C4" s="409" t="s">
        <v>766</v>
      </c>
      <c r="D4" s="409" t="s">
        <v>777</v>
      </c>
      <c r="E4" s="410" t="s">
        <v>803</v>
      </c>
      <c r="F4" s="410" t="s">
        <v>399</v>
      </c>
      <c r="K4" s="406" t="s">
        <v>878</v>
      </c>
      <c r="L4" s="406" t="str">
        <f t="shared" si="1"/>
        <v>-</v>
      </c>
      <c r="M4" s="405" t="str">
        <f t="shared" si="0"/>
        <v>Obchodní marže  (ř. 01 - 02)</v>
      </c>
    </row>
    <row r="5" spans="1:13" x14ac:dyDescent="0.2">
      <c r="A5" s="408">
        <v>4</v>
      </c>
      <c r="B5" s="409" t="s">
        <v>385</v>
      </c>
      <c r="C5" s="409" t="s">
        <v>768</v>
      </c>
      <c r="D5" s="409" t="s">
        <v>779</v>
      </c>
      <c r="E5" s="410" t="s">
        <v>803</v>
      </c>
      <c r="F5" s="410" t="s">
        <v>806</v>
      </c>
      <c r="H5" s="410" t="s">
        <v>286</v>
      </c>
      <c r="K5" s="406" t="s">
        <v>878</v>
      </c>
      <c r="L5" s="406" t="str">
        <f t="shared" si="1"/>
        <v>-</v>
      </c>
      <c r="M5" s="405" t="str">
        <f t="shared" si="0"/>
        <v>Výkony  (ř. 05 + 06 + 07)</v>
      </c>
    </row>
    <row r="6" spans="1:13" x14ac:dyDescent="0.2">
      <c r="A6" s="408">
        <v>5</v>
      </c>
      <c r="B6" s="409" t="s">
        <v>386</v>
      </c>
      <c r="C6" s="409" t="s">
        <v>686</v>
      </c>
      <c r="D6" s="409" t="s">
        <v>727</v>
      </c>
      <c r="E6" s="410" t="s">
        <v>803</v>
      </c>
      <c r="F6" s="410" t="s">
        <v>806</v>
      </c>
      <c r="G6" s="410" t="s">
        <v>446</v>
      </c>
      <c r="H6" s="410" t="s">
        <v>286</v>
      </c>
      <c r="I6" s="409" t="s">
        <v>277</v>
      </c>
      <c r="K6" s="406" t="s">
        <v>878</v>
      </c>
      <c r="L6" s="406" t="str">
        <f t="shared" si="1"/>
        <v>005 Tržby za prodej vlastních výrobků a služeb</v>
      </c>
      <c r="M6" s="405" t="str">
        <f t="shared" si="0"/>
        <v>Tržby za prodej vlastních výrobků a služeb</v>
      </c>
    </row>
    <row r="7" spans="1:13" x14ac:dyDescent="0.2">
      <c r="A7" s="408">
        <v>6</v>
      </c>
      <c r="B7" s="409" t="s">
        <v>387</v>
      </c>
      <c r="C7" s="409" t="s">
        <v>687</v>
      </c>
      <c r="D7" s="409" t="s">
        <v>728</v>
      </c>
      <c r="E7" s="410" t="s">
        <v>803</v>
      </c>
      <c r="F7" s="410" t="s">
        <v>806</v>
      </c>
      <c r="G7" s="410" t="s">
        <v>446</v>
      </c>
      <c r="H7" s="410" t="s">
        <v>286</v>
      </c>
      <c r="I7" s="409" t="s">
        <v>278</v>
      </c>
      <c r="K7" s="406" t="s">
        <v>878</v>
      </c>
      <c r="L7" s="406" t="str">
        <f t="shared" si="1"/>
        <v>006 Změna stavu zásob vlastní činnosti</v>
      </c>
      <c r="M7" s="405" t="str">
        <f t="shared" si="0"/>
        <v>Změna stavu zásob vlastní činnosti</v>
      </c>
    </row>
    <row r="8" spans="1:13" x14ac:dyDescent="0.2">
      <c r="A8" s="408">
        <v>7</v>
      </c>
      <c r="B8" s="409" t="s">
        <v>234</v>
      </c>
      <c r="C8" s="409" t="s">
        <v>688</v>
      </c>
      <c r="D8" s="409" t="s">
        <v>729</v>
      </c>
      <c r="E8" s="410" t="s">
        <v>803</v>
      </c>
      <c r="F8" s="410" t="s">
        <v>806</v>
      </c>
      <c r="G8" s="410" t="s">
        <v>446</v>
      </c>
      <c r="H8" s="410" t="s">
        <v>286</v>
      </c>
      <c r="I8" s="409" t="s">
        <v>279</v>
      </c>
      <c r="K8" s="406" t="s">
        <v>878</v>
      </c>
      <c r="L8" s="406" t="str">
        <f t="shared" si="1"/>
        <v>007 Aktivace</v>
      </c>
      <c r="M8" s="405" t="str">
        <f t="shared" si="0"/>
        <v>Aktivace</v>
      </c>
    </row>
    <row r="9" spans="1:13" x14ac:dyDescent="0.2">
      <c r="A9" s="408">
        <v>8</v>
      </c>
      <c r="B9" s="409" t="s">
        <v>388</v>
      </c>
      <c r="C9" s="409" t="s">
        <v>769</v>
      </c>
      <c r="D9" s="409" t="s">
        <v>780</v>
      </c>
      <c r="E9" s="410" t="s">
        <v>803</v>
      </c>
      <c r="F9" s="410" t="s">
        <v>804</v>
      </c>
      <c r="K9" s="406" t="s">
        <v>878</v>
      </c>
      <c r="L9" s="406" t="str">
        <f t="shared" si="1"/>
        <v>-</v>
      </c>
      <c r="M9" s="405" t="str">
        <f t="shared" si="0"/>
        <v>Výkonová spotřeba   (ř. 09 + 10)</v>
      </c>
    </row>
    <row r="10" spans="1:13" x14ac:dyDescent="0.2">
      <c r="A10" s="408">
        <v>9</v>
      </c>
      <c r="B10" s="409" t="s">
        <v>389</v>
      </c>
      <c r="C10" s="409" t="s">
        <v>689</v>
      </c>
      <c r="D10" s="409" t="s">
        <v>730</v>
      </c>
      <c r="E10" s="410" t="s">
        <v>803</v>
      </c>
      <c r="F10" s="410" t="s">
        <v>804</v>
      </c>
      <c r="G10" s="410" t="s">
        <v>446</v>
      </c>
      <c r="H10" s="409" t="s">
        <v>275</v>
      </c>
      <c r="I10" s="409" t="s">
        <v>277</v>
      </c>
      <c r="K10" s="406" t="s">
        <v>878</v>
      </c>
      <c r="L10" s="406" t="str">
        <f t="shared" si="1"/>
        <v>009 Spotřeba materiálu a energie</v>
      </c>
      <c r="M10" s="405" t="str">
        <f t="shared" si="0"/>
        <v>Spotřeba materiálu a energie</v>
      </c>
    </row>
    <row r="11" spans="1:13" x14ac:dyDescent="0.2">
      <c r="A11" s="408">
        <v>10</v>
      </c>
      <c r="B11" s="409" t="s">
        <v>171</v>
      </c>
      <c r="C11" s="409" t="s">
        <v>690</v>
      </c>
      <c r="D11" s="409" t="s">
        <v>731</v>
      </c>
      <c r="E11" s="410" t="s">
        <v>803</v>
      </c>
      <c r="F11" s="410" t="s">
        <v>804</v>
      </c>
      <c r="G11" s="410" t="s">
        <v>446</v>
      </c>
      <c r="H11" s="409" t="s">
        <v>275</v>
      </c>
      <c r="I11" s="409" t="s">
        <v>278</v>
      </c>
      <c r="K11" s="406" t="s">
        <v>878</v>
      </c>
      <c r="L11" s="406" t="str">
        <f t="shared" si="1"/>
        <v>010 Služby</v>
      </c>
      <c r="M11" s="405" t="str">
        <f t="shared" si="0"/>
        <v>Služby</v>
      </c>
    </row>
    <row r="12" spans="1:13" x14ac:dyDescent="0.2">
      <c r="A12" s="408">
        <v>11</v>
      </c>
      <c r="B12" s="409" t="s">
        <v>390</v>
      </c>
      <c r="C12" s="409" t="s">
        <v>773</v>
      </c>
      <c r="D12" s="409" t="s">
        <v>786</v>
      </c>
      <c r="E12" s="410" t="s">
        <v>803</v>
      </c>
      <c r="F12" s="410" t="s">
        <v>399</v>
      </c>
      <c r="K12" s="406" t="s">
        <v>878</v>
      </c>
      <c r="L12" s="406" t="str">
        <f t="shared" si="1"/>
        <v>-</v>
      </c>
      <c r="M12" s="405" t="str">
        <f t="shared" si="0"/>
        <v>Přidaná hodnota  (ř. 03 + 04 - 08)</v>
      </c>
    </row>
    <row r="13" spans="1:13" x14ac:dyDescent="0.2">
      <c r="A13" s="408">
        <v>12</v>
      </c>
      <c r="B13" s="409" t="s">
        <v>924</v>
      </c>
      <c r="C13" s="409" t="s">
        <v>767</v>
      </c>
      <c r="D13" s="409" t="s">
        <v>778</v>
      </c>
      <c r="E13" s="410" t="s">
        <v>803</v>
      </c>
      <c r="F13" s="410" t="s">
        <v>804</v>
      </c>
      <c r="G13" s="410" t="s">
        <v>446</v>
      </c>
      <c r="K13" s="406" t="s">
        <v>878</v>
      </c>
      <c r="L13" s="406" t="str">
        <f t="shared" si="1"/>
        <v>012 Osobní náklady (ř. 13 až 16)</v>
      </c>
      <c r="M13" s="405" t="str">
        <f t="shared" si="0"/>
        <v>Osobní náklady (ř. 13 až 16)</v>
      </c>
    </row>
    <row r="14" spans="1:13" x14ac:dyDescent="0.2">
      <c r="A14" s="408">
        <v>13</v>
      </c>
      <c r="B14" s="409" t="s">
        <v>176</v>
      </c>
      <c r="C14" s="409" t="s">
        <v>691</v>
      </c>
      <c r="D14" s="409" t="s">
        <v>732</v>
      </c>
      <c r="E14" s="410" t="s">
        <v>803</v>
      </c>
      <c r="F14" s="410" t="s">
        <v>804</v>
      </c>
      <c r="G14" s="410" t="s">
        <v>446</v>
      </c>
      <c r="H14" s="409" t="s">
        <v>309</v>
      </c>
      <c r="I14" s="409" t="s">
        <v>277</v>
      </c>
      <c r="K14" s="406" t="s">
        <v>878</v>
      </c>
      <c r="L14" s="406" t="str">
        <f t="shared" si="1"/>
        <v>013 Mzdové náklady</v>
      </c>
      <c r="M14" s="405" t="str">
        <f t="shared" si="0"/>
        <v>Mzdové náklady</v>
      </c>
    </row>
    <row r="15" spans="1:13" x14ac:dyDescent="0.2">
      <c r="A15" s="408">
        <v>14</v>
      </c>
      <c r="B15" s="409" t="s">
        <v>178</v>
      </c>
      <c r="C15" s="409" t="s">
        <v>692</v>
      </c>
      <c r="D15" s="409" t="s">
        <v>733</v>
      </c>
      <c r="E15" s="410" t="s">
        <v>803</v>
      </c>
      <c r="F15" s="410" t="s">
        <v>804</v>
      </c>
      <c r="G15" s="410" t="s">
        <v>446</v>
      </c>
      <c r="H15" s="409" t="s">
        <v>309</v>
      </c>
      <c r="I15" s="409" t="s">
        <v>278</v>
      </c>
      <c r="K15" s="406" t="s">
        <v>878</v>
      </c>
      <c r="L15" s="406" t="str">
        <f t="shared" si="1"/>
        <v>014 Odměny členům orgánů společnosti a družstva</v>
      </c>
      <c r="M15" s="405" t="str">
        <f t="shared" si="0"/>
        <v>Odměny členům orgánů společnosti a družstva</v>
      </c>
    </row>
    <row r="16" spans="1:13" x14ac:dyDescent="0.2">
      <c r="A16" s="408">
        <v>15</v>
      </c>
      <c r="B16" s="409" t="s">
        <v>391</v>
      </c>
      <c r="C16" s="409" t="s">
        <v>693</v>
      </c>
      <c r="D16" s="409" t="s">
        <v>734</v>
      </c>
      <c r="E16" s="410" t="s">
        <v>803</v>
      </c>
      <c r="F16" s="410" t="s">
        <v>804</v>
      </c>
      <c r="G16" s="410" t="s">
        <v>446</v>
      </c>
      <c r="H16" s="409" t="s">
        <v>309</v>
      </c>
      <c r="I16" s="409" t="s">
        <v>279</v>
      </c>
      <c r="K16" s="406" t="s">
        <v>878</v>
      </c>
      <c r="L16" s="406" t="str">
        <f t="shared" si="1"/>
        <v>015 Náklady na sociální zabezpečení a zdravotní pojištění</v>
      </c>
      <c r="M16" s="405" t="str">
        <f t="shared" si="0"/>
        <v>Náklady na sociální zabezpečení a zdravotní pojištění</v>
      </c>
    </row>
    <row r="17" spans="1:13" x14ac:dyDescent="0.2">
      <c r="A17" s="408">
        <v>16</v>
      </c>
      <c r="B17" s="409" t="s">
        <v>392</v>
      </c>
      <c r="C17" s="409" t="s">
        <v>694</v>
      </c>
      <c r="D17" s="409" t="s">
        <v>735</v>
      </c>
      <c r="E17" s="410" t="s">
        <v>803</v>
      </c>
      <c r="F17" s="410" t="s">
        <v>804</v>
      </c>
      <c r="G17" s="410" t="s">
        <v>446</v>
      </c>
      <c r="H17" s="409" t="s">
        <v>309</v>
      </c>
      <c r="I17" s="409" t="s">
        <v>280</v>
      </c>
      <c r="K17" s="406" t="s">
        <v>878</v>
      </c>
      <c r="L17" s="406" t="str">
        <f t="shared" si="1"/>
        <v>016 Sociální náklady</v>
      </c>
      <c r="M17" s="405" t="str">
        <f t="shared" si="0"/>
        <v>Sociální náklady</v>
      </c>
    </row>
    <row r="18" spans="1:13" x14ac:dyDescent="0.2">
      <c r="A18" s="408">
        <v>17</v>
      </c>
      <c r="B18" s="409" t="s">
        <v>184</v>
      </c>
      <c r="C18" s="409" t="s">
        <v>695</v>
      </c>
      <c r="D18" s="409" t="s">
        <v>736</v>
      </c>
      <c r="E18" s="410" t="s">
        <v>803</v>
      </c>
      <c r="F18" s="410" t="s">
        <v>804</v>
      </c>
      <c r="G18" s="410" t="s">
        <v>446</v>
      </c>
      <c r="H18" s="409" t="s">
        <v>325</v>
      </c>
      <c r="K18" s="406" t="s">
        <v>878</v>
      </c>
      <c r="L18" s="406" t="str">
        <f t="shared" si="1"/>
        <v>017 Daně a poplatky</v>
      </c>
      <c r="M18" s="405" t="str">
        <f t="shared" si="0"/>
        <v>Daně a poplatky</v>
      </c>
    </row>
    <row r="19" spans="1:13" x14ac:dyDescent="0.2">
      <c r="A19" s="408">
        <v>18</v>
      </c>
      <c r="B19" s="409" t="s">
        <v>393</v>
      </c>
      <c r="C19" s="409" t="s">
        <v>696</v>
      </c>
      <c r="D19" s="409" t="s">
        <v>737</v>
      </c>
      <c r="E19" s="410" t="s">
        <v>803</v>
      </c>
      <c r="F19" s="410" t="s">
        <v>804</v>
      </c>
      <c r="G19" s="410" t="s">
        <v>446</v>
      </c>
      <c r="H19" s="409" t="s">
        <v>400</v>
      </c>
      <c r="K19" s="406" t="s">
        <v>878</v>
      </c>
      <c r="L19" s="406" t="str">
        <f t="shared" si="1"/>
        <v>018 Odpisy  dlouhodobého nehmotného a hmotného majetku</v>
      </c>
      <c r="M19" s="405" t="str">
        <f t="shared" si="0"/>
        <v>Odpisy  dlouhodobého nehmotného a hmotného majetku</v>
      </c>
    </row>
    <row r="20" spans="1:13" x14ac:dyDescent="0.2">
      <c r="A20" s="408">
        <v>19</v>
      </c>
      <c r="B20" s="409" t="s">
        <v>394</v>
      </c>
      <c r="C20" s="409" t="s">
        <v>770</v>
      </c>
      <c r="D20" s="409" t="s">
        <v>781</v>
      </c>
      <c r="E20" s="410" t="s">
        <v>803</v>
      </c>
      <c r="F20" s="410" t="s">
        <v>806</v>
      </c>
      <c r="K20" s="406" t="s">
        <v>878</v>
      </c>
      <c r="L20" s="406" t="str">
        <f t="shared" si="1"/>
        <v>-</v>
      </c>
      <c r="M20" s="405" t="str">
        <f t="shared" si="0"/>
        <v>Tržby z prodeje dlouhodobého majetku a materiálu (ř. 20 + 21)</v>
      </c>
    </row>
    <row r="21" spans="1:13" x14ac:dyDescent="0.2">
      <c r="A21" s="408">
        <v>20</v>
      </c>
      <c r="B21" s="409" t="s">
        <v>395</v>
      </c>
      <c r="C21" s="409" t="s">
        <v>697</v>
      </c>
      <c r="D21" s="409" t="s">
        <v>738</v>
      </c>
      <c r="E21" s="410" t="s">
        <v>803</v>
      </c>
      <c r="F21" s="410" t="s">
        <v>806</v>
      </c>
      <c r="G21" s="410" t="s">
        <v>446</v>
      </c>
      <c r="H21" s="409" t="s">
        <v>291</v>
      </c>
      <c r="I21" s="409" t="s">
        <v>277</v>
      </c>
      <c r="K21" s="406" t="s">
        <v>878</v>
      </c>
      <c r="L21" s="406" t="str">
        <f t="shared" si="1"/>
        <v xml:space="preserve">020 Tržby z prodeje dlouhodobého majetku </v>
      </c>
      <c r="M21" s="405" t="str">
        <f t="shared" si="0"/>
        <v xml:space="preserve">Tržby z prodeje dlouhodobého majetku </v>
      </c>
    </row>
    <row r="22" spans="1:13" x14ac:dyDescent="0.2">
      <c r="A22" s="408">
        <v>21</v>
      </c>
      <c r="B22" s="409" t="s">
        <v>240</v>
      </c>
      <c r="C22" s="409" t="s">
        <v>698</v>
      </c>
      <c r="D22" s="409" t="s">
        <v>739</v>
      </c>
      <c r="E22" s="410" t="s">
        <v>803</v>
      </c>
      <c r="F22" s="410" t="s">
        <v>806</v>
      </c>
      <c r="G22" s="410" t="s">
        <v>446</v>
      </c>
      <c r="H22" s="409" t="s">
        <v>291</v>
      </c>
      <c r="I22" s="409" t="s">
        <v>278</v>
      </c>
      <c r="K22" s="406" t="s">
        <v>878</v>
      </c>
      <c r="L22" s="406" t="str">
        <f t="shared" si="1"/>
        <v>021 Tržby z prodeje materiálu</v>
      </c>
      <c r="M22" s="405" t="str">
        <f t="shared" si="0"/>
        <v>Tržby z prodeje materiálu</v>
      </c>
    </row>
    <row r="23" spans="1:13" x14ac:dyDescent="0.2">
      <c r="A23" s="408">
        <v>22</v>
      </c>
      <c r="B23" s="409" t="s">
        <v>396</v>
      </c>
      <c r="C23" s="409" t="s">
        <v>771</v>
      </c>
      <c r="D23" s="409" t="s">
        <v>782</v>
      </c>
      <c r="E23" s="410" t="s">
        <v>803</v>
      </c>
      <c r="F23" s="410" t="s">
        <v>804</v>
      </c>
      <c r="G23" s="410" t="s">
        <v>446</v>
      </c>
      <c r="K23" s="406" t="s">
        <v>878</v>
      </c>
      <c r="L23" s="406" t="str">
        <f t="shared" si="1"/>
        <v>022 Zůstatková cena prodaného dlouhodobého majetku a materiálu (ř. 23 + 24)</v>
      </c>
      <c r="M23" s="405" t="str">
        <f t="shared" si="0"/>
        <v>Zůstatková cena prodaného dlouhodobého majetku a materiálu (ř. 23 + 24)</v>
      </c>
    </row>
    <row r="24" spans="1:13" x14ac:dyDescent="0.2">
      <c r="A24" s="408">
        <v>23</v>
      </c>
      <c r="B24" s="409" t="s">
        <v>397</v>
      </c>
      <c r="C24" s="409" t="s">
        <v>699</v>
      </c>
      <c r="D24" s="409" t="s">
        <v>740</v>
      </c>
      <c r="E24" s="410" t="s">
        <v>803</v>
      </c>
      <c r="F24" s="410" t="s">
        <v>804</v>
      </c>
      <c r="G24" s="410" t="s">
        <v>446</v>
      </c>
      <c r="H24" s="409" t="s">
        <v>401</v>
      </c>
      <c r="I24" s="409" t="s">
        <v>277</v>
      </c>
      <c r="K24" s="406" t="s">
        <v>878</v>
      </c>
      <c r="L24" s="406" t="str">
        <f t="shared" si="1"/>
        <v>023 Zůstatková cena prodaného dlouhodobého majetku</v>
      </c>
      <c r="M24" s="405" t="str">
        <f t="shared" si="0"/>
        <v>Zůstatková cena prodaného dlouhodobého majetku</v>
      </c>
    </row>
    <row r="25" spans="1:13" x14ac:dyDescent="0.2">
      <c r="A25" s="408">
        <v>24</v>
      </c>
      <c r="B25" s="409" t="s">
        <v>188</v>
      </c>
      <c r="C25" s="409" t="s">
        <v>700</v>
      </c>
      <c r="D25" s="409" t="s">
        <v>741</v>
      </c>
      <c r="E25" s="410" t="s">
        <v>803</v>
      </c>
      <c r="F25" s="410" t="s">
        <v>804</v>
      </c>
      <c r="G25" s="410" t="s">
        <v>446</v>
      </c>
      <c r="H25" s="409" t="s">
        <v>401</v>
      </c>
      <c r="I25" s="409" t="s">
        <v>278</v>
      </c>
      <c r="K25" s="406" t="s">
        <v>878</v>
      </c>
      <c r="L25" s="406" t="str">
        <f t="shared" si="1"/>
        <v>024 Prodaný materiál</v>
      </c>
      <c r="M25" s="405" t="str">
        <f t="shared" si="0"/>
        <v>Prodaný materiál</v>
      </c>
    </row>
    <row r="26" spans="1:13" x14ac:dyDescent="0.2">
      <c r="A26" s="408">
        <v>25</v>
      </c>
      <c r="B26" s="409" t="s">
        <v>398</v>
      </c>
      <c r="C26" s="409" t="s">
        <v>701</v>
      </c>
      <c r="D26" s="409" t="s">
        <v>742</v>
      </c>
      <c r="E26" s="410" t="s">
        <v>803</v>
      </c>
      <c r="F26" s="410" t="s">
        <v>804</v>
      </c>
      <c r="G26" s="410" t="s">
        <v>446</v>
      </c>
      <c r="H26" s="409" t="s">
        <v>402</v>
      </c>
      <c r="K26" s="406" t="s">
        <v>878</v>
      </c>
      <c r="L26" s="406" t="str">
        <f t="shared" si="1"/>
        <v>025 Změna stavu rezerv a opravných položek v provozní oblasti a komplexních nákladů příštích období</v>
      </c>
      <c r="M26" s="405" t="str">
        <f t="shared" si="0"/>
        <v>Změna stavu rezerv a opravných položek v provozní oblasti a komplexních nákladů příštích období</v>
      </c>
    </row>
    <row r="27" spans="1:13" x14ac:dyDescent="0.2">
      <c r="A27" s="408">
        <v>26</v>
      </c>
      <c r="B27" s="409" t="s">
        <v>242</v>
      </c>
      <c r="C27" s="409" t="s">
        <v>702</v>
      </c>
      <c r="D27" s="409" t="s">
        <v>743</v>
      </c>
      <c r="E27" s="410" t="s">
        <v>803</v>
      </c>
      <c r="F27" s="410" t="s">
        <v>806</v>
      </c>
      <c r="G27" s="410" t="s">
        <v>446</v>
      </c>
      <c r="H27" s="409" t="s">
        <v>322</v>
      </c>
      <c r="K27" s="406" t="s">
        <v>878</v>
      </c>
      <c r="L27" s="406" t="str">
        <f t="shared" si="1"/>
        <v>026 Ostatní provozní výnosy</v>
      </c>
      <c r="M27" s="405" t="str">
        <f t="shared" si="0"/>
        <v>Ostatní provozní výnosy</v>
      </c>
    </row>
    <row r="28" spans="1:13" x14ac:dyDescent="0.2">
      <c r="A28" s="408">
        <v>27</v>
      </c>
      <c r="B28" s="409" t="s">
        <v>193</v>
      </c>
      <c r="C28" s="409" t="s">
        <v>703</v>
      </c>
      <c r="D28" s="409" t="s">
        <v>744</v>
      </c>
      <c r="E28" s="410" t="s">
        <v>803</v>
      </c>
      <c r="F28" s="410" t="s">
        <v>804</v>
      </c>
      <c r="G28" s="410" t="s">
        <v>446</v>
      </c>
      <c r="H28" s="409" t="s">
        <v>403</v>
      </c>
      <c r="K28" s="406" t="s">
        <v>878</v>
      </c>
      <c r="L28" s="406" t="str">
        <f t="shared" si="1"/>
        <v>027 Ostatní provozní náklady</v>
      </c>
      <c r="M28" s="405" t="str">
        <f t="shared" si="0"/>
        <v>Ostatní provozní náklady</v>
      </c>
    </row>
    <row r="29" spans="1:13" x14ac:dyDescent="0.2">
      <c r="A29" s="408">
        <v>28</v>
      </c>
      <c r="B29" s="409" t="s">
        <v>253</v>
      </c>
      <c r="C29" s="409" t="s">
        <v>704</v>
      </c>
      <c r="D29" s="409" t="s">
        <v>745</v>
      </c>
      <c r="E29" s="410" t="s">
        <v>803</v>
      </c>
      <c r="F29" s="410" t="s">
        <v>806</v>
      </c>
      <c r="G29" s="410" t="s">
        <v>446</v>
      </c>
      <c r="H29" s="409" t="s">
        <v>345</v>
      </c>
      <c r="K29" s="406" t="s">
        <v>878</v>
      </c>
      <c r="L29" s="406" t="str">
        <f t="shared" si="1"/>
        <v>028 Převod provozních výnosů</v>
      </c>
      <c r="M29" s="405" t="str">
        <f t="shared" si="0"/>
        <v>Převod provozních výnosů</v>
      </c>
    </row>
    <row r="30" spans="1:13" x14ac:dyDescent="0.2">
      <c r="A30" s="408">
        <v>29</v>
      </c>
      <c r="B30" s="409" t="s">
        <v>224</v>
      </c>
      <c r="C30" s="409" t="s">
        <v>705</v>
      </c>
      <c r="D30" s="409" t="s">
        <v>746</v>
      </c>
      <c r="E30" s="410" t="s">
        <v>803</v>
      </c>
      <c r="F30" s="410" t="s">
        <v>804</v>
      </c>
      <c r="G30" s="410" t="s">
        <v>446</v>
      </c>
      <c r="H30" s="409" t="s">
        <v>276</v>
      </c>
      <c r="K30" s="406" t="s">
        <v>878</v>
      </c>
      <c r="L30" s="406" t="str">
        <f t="shared" si="1"/>
        <v>029 Převod provozních nákladů</v>
      </c>
      <c r="M30" s="405" t="str">
        <f t="shared" si="0"/>
        <v>Převod provozních nákladů</v>
      </c>
    </row>
    <row r="31" spans="1:13" ht="22.5" x14ac:dyDescent="0.2">
      <c r="A31" s="408">
        <v>30</v>
      </c>
      <c r="B31" s="412" t="s">
        <v>925</v>
      </c>
      <c r="C31" s="412" t="s">
        <v>926</v>
      </c>
      <c r="D31" s="412" t="s">
        <v>927</v>
      </c>
      <c r="E31" s="410" t="s">
        <v>803</v>
      </c>
      <c r="F31" s="410" t="s">
        <v>399</v>
      </c>
      <c r="K31" s="406" t="s">
        <v>878</v>
      </c>
      <c r="L31" s="406" t="str">
        <f t="shared" si="1"/>
        <v>-</v>
      </c>
      <c r="M31" s="405" t="str">
        <f t="shared" si="0"/>
        <v>Provozní výsledek hospodaření
(ř. 11 - 12 - 17 - 18 + 19 - 22 - 25 + 26 - 27 +(-28) - (-29))</v>
      </c>
    </row>
    <row r="32" spans="1:13" x14ac:dyDescent="0.2">
      <c r="A32" s="408">
        <v>31</v>
      </c>
      <c r="B32" s="409" t="s">
        <v>243</v>
      </c>
      <c r="C32" s="409" t="s">
        <v>706</v>
      </c>
      <c r="D32" s="409" t="s">
        <v>747</v>
      </c>
      <c r="E32" s="410" t="s">
        <v>803</v>
      </c>
      <c r="F32" s="410" t="s">
        <v>806</v>
      </c>
      <c r="G32" s="410" t="s">
        <v>446</v>
      </c>
      <c r="K32" s="406" t="s">
        <v>879</v>
      </c>
      <c r="L32" s="406" t="str">
        <f t="shared" si="1"/>
        <v>031 Tržby z prodeje cenných papírů a podílů</v>
      </c>
      <c r="M32" s="405" t="str">
        <f t="shared" si="0"/>
        <v>Tržby z prodeje cenných papírů a podílů</v>
      </c>
    </row>
    <row r="33" spans="1:13" x14ac:dyDescent="0.2">
      <c r="A33" s="408">
        <v>32</v>
      </c>
      <c r="B33" s="409" t="s">
        <v>202</v>
      </c>
      <c r="C33" s="409" t="s">
        <v>707</v>
      </c>
      <c r="D33" s="409" t="s">
        <v>748</v>
      </c>
      <c r="E33" s="410" t="s">
        <v>803</v>
      </c>
      <c r="F33" s="410" t="s">
        <v>804</v>
      </c>
      <c r="G33" s="410" t="s">
        <v>446</v>
      </c>
      <c r="K33" s="406" t="s">
        <v>879</v>
      </c>
      <c r="L33" s="406" t="str">
        <f t="shared" si="1"/>
        <v>032 Prodané cenné papíry a podíly</v>
      </c>
      <c r="M33" s="405" t="str">
        <f t="shared" si="0"/>
        <v>Prodané cenné papíry a podíly</v>
      </c>
    </row>
    <row r="34" spans="1:13" x14ac:dyDescent="0.2">
      <c r="A34" s="408">
        <v>33</v>
      </c>
      <c r="B34" s="409" t="s">
        <v>411</v>
      </c>
      <c r="C34" s="409" t="s">
        <v>772</v>
      </c>
      <c r="D34" s="409" t="s">
        <v>783</v>
      </c>
      <c r="E34" s="410" t="s">
        <v>803</v>
      </c>
      <c r="F34" s="410" t="s">
        <v>399</v>
      </c>
      <c r="K34" s="406" t="s">
        <v>879</v>
      </c>
      <c r="L34" s="406" t="str">
        <f t="shared" si="1"/>
        <v>-</v>
      </c>
      <c r="M34" s="405" t="str">
        <f t="shared" ref="M34:M62" si="2">IF(jazyk="česky",B34,IF(jazyk="anglicky",C34,IF(jazyk="německy",D34,"-")))</f>
        <v>Výnosy z dlouhodobého finančního majetku (ř. 34 + 35 + 36)</v>
      </c>
    </row>
    <row r="35" spans="1:13" x14ac:dyDescent="0.2">
      <c r="A35" s="408">
        <v>34</v>
      </c>
      <c r="B35" s="409" t="s">
        <v>412</v>
      </c>
      <c r="C35" s="409" t="s">
        <v>708</v>
      </c>
      <c r="D35" s="409" t="s">
        <v>749</v>
      </c>
      <c r="E35" s="410" t="s">
        <v>803</v>
      </c>
      <c r="F35" s="410" t="s">
        <v>806</v>
      </c>
      <c r="G35" s="410" t="s">
        <v>446</v>
      </c>
      <c r="K35" s="406" t="s">
        <v>879</v>
      </c>
      <c r="L35" s="406" t="str">
        <f t="shared" si="1"/>
        <v>034 Výnosy z podílů v ovládaných osobách a v účetních jednotkách pod podstatným vlivem</v>
      </c>
      <c r="M35" s="405" t="str">
        <f t="shared" si="2"/>
        <v>Výnosy z podílů v ovládaných osobách a v účetních jednotkách pod podstatným vlivem</v>
      </c>
    </row>
    <row r="36" spans="1:13" x14ac:dyDescent="0.2">
      <c r="A36" s="408">
        <v>35</v>
      </c>
      <c r="B36" s="409" t="s">
        <v>413</v>
      </c>
      <c r="C36" s="409" t="s">
        <v>709</v>
      </c>
      <c r="D36" s="409" t="s">
        <v>750</v>
      </c>
      <c r="E36" s="410" t="s">
        <v>803</v>
      </c>
      <c r="F36" s="410" t="s">
        <v>806</v>
      </c>
      <c r="G36" s="410" t="s">
        <v>446</v>
      </c>
      <c r="K36" s="406" t="s">
        <v>879</v>
      </c>
      <c r="L36" s="406" t="str">
        <f t="shared" si="1"/>
        <v>035 Výnosy z ostatních dlouhodobých cenných papírů a podílů</v>
      </c>
      <c r="M36" s="405" t="str">
        <f t="shared" si="2"/>
        <v>Výnosy z ostatních dlouhodobých cenných papírů a podílů</v>
      </c>
    </row>
    <row r="37" spans="1:13" x14ac:dyDescent="0.2">
      <c r="A37" s="408">
        <v>36</v>
      </c>
      <c r="B37" s="409" t="s">
        <v>414</v>
      </c>
      <c r="C37" s="409" t="s">
        <v>710</v>
      </c>
      <c r="D37" s="409" t="s">
        <v>751</v>
      </c>
      <c r="E37" s="410" t="s">
        <v>803</v>
      </c>
      <c r="F37" s="410" t="s">
        <v>806</v>
      </c>
      <c r="G37" s="410" t="s">
        <v>446</v>
      </c>
      <c r="K37" s="406" t="s">
        <v>879</v>
      </c>
      <c r="L37" s="406" t="str">
        <f t="shared" si="1"/>
        <v>036 Výnosy z ostatního dlouhodobého finančního majetku</v>
      </c>
      <c r="M37" s="405" t="str">
        <f t="shared" si="2"/>
        <v>Výnosy z ostatního dlouhodobého finančního majetku</v>
      </c>
    </row>
    <row r="38" spans="1:13" x14ac:dyDescent="0.2">
      <c r="A38" s="408">
        <v>37</v>
      </c>
      <c r="B38" s="409" t="s">
        <v>247</v>
      </c>
      <c r="C38" s="409" t="s">
        <v>711</v>
      </c>
      <c r="D38" s="409" t="s">
        <v>752</v>
      </c>
      <c r="E38" s="410" t="s">
        <v>803</v>
      </c>
      <c r="F38" s="410" t="s">
        <v>806</v>
      </c>
      <c r="G38" s="410" t="s">
        <v>446</v>
      </c>
      <c r="K38" s="406" t="s">
        <v>879</v>
      </c>
      <c r="L38" s="406" t="str">
        <f t="shared" si="1"/>
        <v>037 Výnosy z krátkodobého finančního majetku</v>
      </c>
      <c r="M38" s="405" t="str">
        <f t="shared" si="2"/>
        <v>Výnosy z krátkodobého finančního majetku</v>
      </c>
    </row>
    <row r="39" spans="1:13" x14ac:dyDescent="0.2">
      <c r="A39" s="408">
        <v>38</v>
      </c>
      <c r="B39" s="409" t="s">
        <v>206</v>
      </c>
      <c r="C39" s="409" t="s">
        <v>712</v>
      </c>
      <c r="D39" s="409" t="s">
        <v>753</v>
      </c>
      <c r="E39" s="410" t="s">
        <v>803</v>
      </c>
      <c r="F39" s="410" t="s">
        <v>804</v>
      </c>
      <c r="G39" s="410" t="s">
        <v>446</v>
      </c>
      <c r="K39" s="406" t="s">
        <v>879</v>
      </c>
      <c r="L39" s="406" t="str">
        <f t="shared" si="1"/>
        <v>038 Náklady z finančního majetku</v>
      </c>
      <c r="M39" s="405" t="str">
        <f t="shared" si="2"/>
        <v>Náklady z finančního majetku</v>
      </c>
    </row>
    <row r="40" spans="1:13" x14ac:dyDescent="0.2">
      <c r="A40" s="408">
        <v>39</v>
      </c>
      <c r="B40" s="409" t="s">
        <v>415</v>
      </c>
      <c r="C40" s="409" t="s">
        <v>713</v>
      </c>
      <c r="D40" s="409" t="s">
        <v>754</v>
      </c>
      <c r="E40" s="410" t="s">
        <v>803</v>
      </c>
      <c r="F40" s="410" t="s">
        <v>806</v>
      </c>
      <c r="G40" s="410" t="s">
        <v>446</v>
      </c>
      <c r="K40" s="406" t="s">
        <v>879</v>
      </c>
      <c r="L40" s="406" t="str">
        <f t="shared" si="1"/>
        <v>039 Výnosy z přecenění cenných papírů a derivátů</v>
      </c>
      <c r="M40" s="405" t="str">
        <f t="shared" si="2"/>
        <v>Výnosy z přecenění cenných papírů a derivátů</v>
      </c>
    </row>
    <row r="41" spans="1:13" x14ac:dyDescent="0.2">
      <c r="A41" s="408">
        <v>40</v>
      </c>
      <c r="B41" s="409" t="s">
        <v>416</v>
      </c>
      <c r="C41" s="409" t="s">
        <v>714</v>
      </c>
      <c r="D41" s="409" t="s">
        <v>755</v>
      </c>
      <c r="E41" s="410" t="s">
        <v>803</v>
      </c>
      <c r="F41" s="410" t="s">
        <v>804</v>
      </c>
      <c r="G41" s="410" t="s">
        <v>446</v>
      </c>
      <c r="K41" s="406" t="s">
        <v>879</v>
      </c>
      <c r="L41" s="406" t="str">
        <f t="shared" si="1"/>
        <v>040 Náklady z přecenění cenných papírů a derivátů</v>
      </c>
      <c r="M41" s="405" t="str">
        <f t="shared" si="2"/>
        <v>Náklady z přecenění cenných papírů a derivátů</v>
      </c>
    </row>
    <row r="42" spans="1:13" x14ac:dyDescent="0.2">
      <c r="A42" s="408">
        <v>41</v>
      </c>
      <c r="B42" s="409" t="s">
        <v>417</v>
      </c>
      <c r="C42" s="409" t="s">
        <v>715</v>
      </c>
      <c r="D42" s="409" t="s">
        <v>756</v>
      </c>
      <c r="E42" s="410" t="s">
        <v>803</v>
      </c>
      <c r="F42" s="410" t="s">
        <v>804</v>
      </c>
      <c r="G42" s="410" t="s">
        <v>446</v>
      </c>
      <c r="K42" s="406" t="s">
        <v>879</v>
      </c>
      <c r="L42" s="406" t="str">
        <f t="shared" si="1"/>
        <v>041 Změna stavu rezerv a opravných položek ve finanční oblasti</v>
      </c>
      <c r="M42" s="405" t="str">
        <f t="shared" si="2"/>
        <v>Změna stavu rezerv a opravných položek ve finanční oblasti</v>
      </c>
    </row>
    <row r="43" spans="1:13" x14ac:dyDescent="0.2">
      <c r="A43" s="408">
        <v>42</v>
      </c>
      <c r="B43" s="409" t="s">
        <v>418</v>
      </c>
      <c r="C43" s="409" t="s">
        <v>716</v>
      </c>
      <c r="D43" s="409" t="s">
        <v>757</v>
      </c>
      <c r="E43" s="410" t="s">
        <v>803</v>
      </c>
      <c r="F43" s="410" t="s">
        <v>806</v>
      </c>
      <c r="G43" s="410" t="s">
        <v>446</v>
      </c>
      <c r="K43" s="406" t="s">
        <v>879</v>
      </c>
      <c r="L43" s="406" t="str">
        <f t="shared" si="1"/>
        <v>042 Výnosové úroky</v>
      </c>
      <c r="M43" s="405" t="str">
        <f t="shared" si="2"/>
        <v>Výnosové úroky</v>
      </c>
    </row>
    <row r="44" spans="1:13" x14ac:dyDescent="0.2">
      <c r="A44" s="408">
        <v>43</v>
      </c>
      <c r="B44" s="409" t="s">
        <v>419</v>
      </c>
      <c r="C44" s="409" t="s">
        <v>717</v>
      </c>
      <c r="D44" s="409" t="s">
        <v>758</v>
      </c>
      <c r="E44" s="410" t="s">
        <v>803</v>
      </c>
      <c r="F44" s="410" t="s">
        <v>804</v>
      </c>
      <c r="G44" s="410" t="s">
        <v>446</v>
      </c>
      <c r="K44" s="406" t="s">
        <v>879</v>
      </c>
      <c r="L44" s="406" t="str">
        <f t="shared" si="1"/>
        <v>043 Nákladové úroky</v>
      </c>
      <c r="M44" s="405" t="str">
        <f t="shared" si="2"/>
        <v>Nákladové úroky</v>
      </c>
    </row>
    <row r="45" spans="1:13" x14ac:dyDescent="0.2">
      <c r="A45" s="408">
        <v>44</v>
      </c>
      <c r="B45" s="409" t="s">
        <v>249</v>
      </c>
      <c r="C45" s="409" t="s">
        <v>718</v>
      </c>
      <c r="D45" s="409" t="s">
        <v>759</v>
      </c>
      <c r="E45" s="410" t="s">
        <v>803</v>
      </c>
      <c r="F45" s="410" t="s">
        <v>806</v>
      </c>
      <c r="G45" s="410" t="s">
        <v>446</v>
      </c>
      <c r="K45" s="406" t="s">
        <v>879</v>
      </c>
      <c r="L45" s="406" t="str">
        <f t="shared" si="1"/>
        <v>044 Ostatní finanční výnosy</v>
      </c>
      <c r="M45" s="405" t="str">
        <f t="shared" si="2"/>
        <v>Ostatní finanční výnosy</v>
      </c>
    </row>
    <row r="46" spans="1:13" x14ac:dyDescent="0.2">
      <c r="A46" s="408">
        <v>45</v>
      </c>
      <c r="B46" s="409" t="s">
        <v>208</v>
      </c>
      <c r="C46" s="409" t="s">
        <v>719</v>
      </c>
      <c r="D46" s="409" t="s">
        <v>760</v>
      </c>
      <c r="E46" s="410" t="s">
        <v>803</v>
      </c>
      <c r="F46" s="410" t="s">
        <v>804</v>
      </c>
      <c r="G46" s="410" t="s">
        <v>446</v>
      </c>
      <c r="K46" s="406" t="s">
        <v>879</v>
      </c>
      <c r="L46" s="406" t="str">
        <f t="shared" si="1"/>
        <v>045 Ostatní finanční náklady</v>
      </c>
      <c r="M46" s="405" t="str">
        <f t="shared" si="2"/>
        <v>Ostatní finanční náklady</v>
      </c>
    </row>
    <row r="47" spans="1:13" x14ac:dyDescent="0.2">
      <c r="A47" s="408">
        <v>46</v>
      </c>
      <c r="B47" s="409" t="s">
        <v>254</v>
      </c>
      <c r="C47" s="409" t="s">
        <v>720</v>
      </c>
      <c r="D47" s="409" t="s">
        <v>761</v>
      </c>
      <c r="E47" s="410" t="s">
        <v>803</v>
      </c>
      <c r="F47" s="410" t="s">
        <v>806</v>
      </c>
      <c r="G47" s="410" t="s">
        <v>446</v>
      </c>
      <c r="K47" s="406" t="s">
        <v>879</v>
      </c>
      <c r="L47" s="406" t="str">
        <f t="shared" si="1"/>
        <v>046 Převod finančních výnosů</v>
      </c>
      <c r="M47" s="405" t="str">
        <f t="shared" si="2"/>
        <v>Převod finančních výnosů</v>
      </c>
    </row>
    <row r="48" spans="1:13" x14ac:dyDescent="0.2">
      <c r="A48" s="408">
        <v>47</v>
      </c>
      <c r="B48" s="409" t="s">
        <v>225</v>
      </c>
      <c r="C48" s="409" t="s">
        <v>721</v>
      </c>
      <c r="D48" s="409" t="s">
        <v>762</v>
      </c>
      <c r="E48" s="410" t="s">
        <v>803</v>
      </c>
      <c r="F48" s="410" t="s">
        <v>804</v>
      </c>
      <c r="G48" s="410" t="s">
        <v>446</v>
      </c>
      <c r="K48" s="406" t="s">
        <v>879</v>
      </c>
      <c r="L48" s="406" t="str">
        <f t="shared" si="1"/>
        <v>047 Převod finančních nákladů</v>
      </c>
      <c r="M48" s="405" t="str">
        <f t="shared" si="2"/>
        <v>Převod finančních nákladů</v>
      </c>
    </row>
    <row r="49" spans="1:13" ht="22.5" x14ac:dyDescent="0.2">
      <c r="A49" s="408">
        <v>48</v>
      </c>
      <c r="B49" s="412" t="s">
        <v>928</v>
      </c>
      <c r="C49" s="412" t="s">
        <v>929</v>
      </c>
      <c r="D49" s="412" t="s">
        <v>930</v>
      </c>
      <c r="E49" s="410" t="s">
        <v>803</v>
      </c>
      <c r="F49" s="410" t="s">
        <v>399</v>
      </c>
      <c r="K49" s="406" t="s">
        <v>879</v>
      </c>
      <c r="L49" s="406" t="str">
        <f t="shared" si="1"/>
        <v>-</v>
      </c>
      <c r="M49" s="405" t="str">
        <f t="shared" si="2"/>
        <v>Finanční výsledek hospodaření 
(ř. 31 - 32 + 33 + 37 - 38 + 39 - 40 - 41 + 42 - 43 + 44 - 45 -(-46) +(-47))</v>
      </c>
    </row>
    <row r="50" spans="1:13" x14ac:dyDescent="0.2">
      <c r="A50" s="408">
        <v>49</v>
      </c>
      <c r="B50" s="409" t="s">
        <v>420</v>
      </c>
      <c r="C50" s="409" t="s">
        <v>776</v>
      </c>
      <c r="D50" s="409" t="s">
        <v>784</v>
      </c>
      <c r="E50" s="410" t="s">
        <v>803</v>
      </c>
      <c r="F50" s="410" t="s">
        <v>399</v>
      </c>
      <c r="K50" s="406" t="s">
        <v>879</v>
      </c>
      <c r="L50" s="406" t="str">
        <f t="shared" si="1"/>
        <v>-</v>
      </c>
      <c r="M50" s="405" t="str">
        <f t="shared" si="2"/>
        <v>Daň z příjmů za běžnou činnost   (ř. 50 + 51)</v>
      </c>
    </row>
    <row r="51" spans="1:13" x14ac:dyDescent="0.2">
      <c r="A51" s="408">
        <v>50</v>
      </c>
      <c r="B51" s="409" t="s">
        <v>788</v>
      </c>
      <c r="C51" s="409" t="s">
        <v>790</v>
      </c>
      <c r="D51" s="409" t="s">
        <v>792</v>
      </c>
      <c r="E51" s="410" t="s">
        <v>803</v>
      </c>
      <c r="F51" s="410" t="s">
        <v>804</v>
      </c>
      <c r="G51" s="410" t="s">
        <v>446</v>
      </c>
      <c r="K51" s="406" t="s">
        <v>879</v>
      </c>
      <c r="L51" s="406" t="str">
        <f t="shared" si="1"/>
        <v>050      - splatná</v>
      </c>
      <c r="M51" s="405" t="str">
        <f t="shared" si="2"/>
        <v xml:space="preserve">     - splatná</v>
      </c>
    </row>
    <row r="52" spans="1:13" x14ac:dyDescent="0.2">
      <c r="A52" s="408">
        <v>51</v>
      </c>
      <c r="B52" s="409" t="s">
        <v>789</v>
      </c>
      <c r="C52" s="409" t="s">
        <v>791</v>
      </c>
      <c r="D52" s="409" t="s">
        <v>793</v>
      </c>
      <c r="E52" s="410" t="s">
        <v>803</v>
      </c>
      <c r="F52" s="410" t="s">
        <v>804</v>
      </c>
      <c r="G52" s="410" t="s">
        <v>446</v>
      </c>
      <c r="K52" s="406" t="s">
        <v>879</v>
      </c>
      <c r="L52" s="406" t="str">
        <f t="shared" si="1"/>
        <v>051      - odložená</v>
      </c>
      <c r="M52" s="405" t="str">
        <f t="shared" si="2"/>
        <v xml:space="preserve">     - odložená</v>
      </c>
    </row>
    <row r="53" spans="1:13" x14ac:dyDescent="0.2">
      <c r="A53" s="408">
        <v>52</v>
      </c>
      <c r="B53" s="409" t="s">
        <v>421</v>
      </c>
      <c r="C53" s="409" t="s">
        <v>935</v>
      </c>
      <c r="D53" s="409" t="s">
        <v>936</v>
      </c>
      <c r="E53" s="410" t="s">
        <v>803</v>
      </c>
      <c r="F53" s="410" t="s">
        <v>399</v>
      </c>
      <c r="K53" s="406" t="s">
        <v>306</v>
      </c>
      <c r="L53" s="406" t="str">
        <f t="shared" si="1"/>
        <v>-</v>
      </c>
      <c r="M53" s="405" t="str">
        <f t="shared" si="2"/>
        <v>Výsledek hospodaření za běžnou činnost  (ř. 30 + 48 - 49)</v>
      </c>
    </row>
    <row r="54" spans="1:13" x14ac:dyDescent="0.2">
      <c r="A54" s="408">
        <v>53</v>
      </c>
      <c r="B54" s="409" t="s">
        <v>250</v>
      </c>
      <c r="C54" s="409" t="s">
        <v>722</v>
      </c>
      <c r="D54" s="409" t="s">
        <v>763</v>
      </c>
      <c r="E54" s="410" t="s">
        <v>803</v>
      </c>
      <c r="F54" s="410" t="s">
        <v>806</v>
      </c>
      <c r="G54" s="410" t="s">
        <v>446</v>
      </c>
      <c r="K54" s="406" t="s">
        <v>880</v>
      </c>
      <c r="L54" s="406" t="str">
        <f t="shared" si="1"/>
        <v>053 Mimořádné výnosy</v>
      </c>
      <c r="M54" s="405" t="str">
        <f t="shared" si="2"/>
        <v>Mimořádné výnosy</v>
      </c>
    </row>
    <row r="55" spans="1:13" x14ac:dyDescent="0.2">
      <c r="A55" s="408">
        <v>54</v>
      </c>
      <c r="B55" s="409" t="s">
        <v>212</v>
      </c>
      <c r="C55" s="409" t="s">
        <v>723</v>
      </c>
      <c r="D55" s="409" t="s">
        <v>764</v>
      </c>
      <c r="E55" s="410" t="s">
        <v>803</v>
      </c>
      <c r="F55" s="410" t="s">
        <v>804</v>
      </c>
      <c r="G55" s="410" t="s">
        <v>446</v>
      </c>
      <c r="K55" s="406" t="s">
        <v>880</v>
      </c>
      <c r="L55" s="406" t="str">
        <f t="shared" si="1"/>
        <v>054 Mimořádné náklady</v>
      </c>
      <c r="M55" s="405" t="str">
        <f t="shared" si="2"/>
        <v>Mimořádné náklady</v>
      </c>
    </row>
    <row r="56" spans="1:13" x14ac:dyDescent="0.2">
      <c r="A56" s="408">
        <v>55</v>
      </c>
      <c r="B56" s="409" t="s">
        <v>422</v>
      </c>
      <c r="C56" s="409" t="s">
        <v>775</v>
      </c>
      <c r="D56" s="409" t="s">
        <v>785</v>
      </c>
      <c r="E56" s="410" t="s">
        <v>803</v>
      </c>
      <c r="F56" s="410" t="s">
        <v>399</v>
      </c>
      <c r="K56" s="406" t="s">
        <v>880</v>
      </c>
      <c r="L56" s="406" t="str">
        <f t="shared" si="1"/>
        <v>-</v>
      </c>
      <c r="M56" s="405" t="str">
        <f t="shared" si="2"/>
        <v>Daň z příjmů z mimořádné činnosti  (ř. 56 + 57)</v>
      </c>
    </row>
    <row r="57" spans="1:13" x14ac:dyDescent="0.2">
      <c r="A57" s="408">
        <v>56</v>
      </c>
      <c r="B57" s="409" t="s">
        <v>788</v>
      </c>
      <c r="C57" s="409" t="s">
        <v>790</v>
      </c>
      <c r="D57" s="409" t="s">
        <v>792</v>
      </c>
      <c r="E57" s="410" t="s">
        <v>803</v>
      </c>
      <c r="F57" s="410" t="s">
        <v>804</v>
      </c>
      <c r="G57" s="410" t="s">
        <v>446</v>
      </c>
      <c r="K57" s="406" t="s">
        <v>880</v>
      </c>
      <c r="L57" s="406" t="str">
        <f t="shared" si="1"/>
        <v>056      - splatná</v>
      </c>
      <c r="M57" s="405" t="str">
        <f t="shared" si="2"/>
        <v xml:space="preserve">     - splatná</v>
      </c>
    </row>
    <row r="58" spans="1:13" x14ac:dyDescent="0.2">
      <c r="A58" s="408">
        <v>57</v>
      </c>
      <c r="B58" s="409" t="s">
        <v>789</v>
      </c>
      <c r="C58" s="409" t="s">
        <v>791</v>
      </c>
      <c r="D58" s="409" t="s">
        <v>793</v>
      </c>
      <c r="E58" s="410" t="s">
        <v>803</v>
      </c>
      <c r="F58" s="410" t="s">
        <v>804</v>
      </c>
      <c r="G58" s="410" t="s">
        <v>446</v>
      </c>
      <c r="K58" s="406" t="s">
        <v>880</v>
      </c>
      <c r="L58" s="406" t="str">
        <f t="shared" si="1"/>
        <v>057      - odložená</v>
      </c>
      <c r="M58" s="405" t="str">
        <f t="shared" si="2"/>
        <v xml:space="preserve">     - odložená</v>
      </c>
    </row>
    <row r="59" spans="1:13" x14ac:dyDescent="0.2">
      <c r="A59" s="408">
        <v>58</v>
      </c>
      <c r="B59" s="409" t="s">
        <v>423</v>
      </c>
      <c r="C59" s="409" t="s">
        <v>774</v>
      </c>
      <c r="D59" s="409" t="s">
        <v>787</v>
      </c>
      <c r="E59" s="410" t="s">
        <v>803</v>
      </c>
      <c r="F59" s="410" t="s">
        <v>399</v>
      </c>
      <c r="K59" s="406" t="s">
        <v>306</v>
      </c>
      <c r="L59" s="406" t="str">
        <f t="shared" si="1"/>
        <v>-</v>
      </c>
      <c r="M59" s="405" t="str">
        <f t="shared" si="2"/>
        <v>Mimořádný výsledek hospodaření (ř. 53 - 54 -55 )</v>
      </c>
    </row>
    <row r="60" spans="1:13" x14ac:dyDescent="0.2">
      <c r="A60" s="408">
        <v>59</v>
      </c>
      <c r="B60" s="409" t="s">
        <v>424</v>
      </c>
      <c r="C60" s="409" t="s">
        <v>724</v>
      </c>
      <c r="D60" s="409" t="s">
        <v>765</v>
      </c>
      <c r="E60" s="410" t="s">
        <v>803</v>
      </c>
      <c r="F60" s="410" t="s">
        <v>806</v>
      </c>
      <c r="G60" s="410" t="s">
        <v>446</v>
      </c>
      <c r="K60" s="406" t="s">
        <v>880</v>
      </c>
      <c r="L60" s="406" t="str">
        <f t="shared" si="1"/>
        <v>059 Převod podílu na výsledku hospodaření společníkům (+/-)</v>
      </c>
      <c r="M60" s="405" t="str">
        <f t="shared" si="2"/>
        <v>Převod podílu na výsledku hospodaření společníkům (+/-)</v>
      </c>
    </row>
    <row r="61" spans="1:13" x14ac:dyDescent="0.2">
      <c r="A61" s="408">
        <v>60</v>
      </c>
      <c r="B61" s="409" t="s">
        <v>425</v>
      </c>
      <c r="C61" s="409" t="s">
        <v>931</v>
      </c>
      <c r="D61" s="409" t="s">
        <v>932</v>
      </c>
      <c r="E61" s="410" t="s">
        <v>803</v>
      </c>
      <c r="F61" s="410" t="s">
        <v>399</v>
      </c>
      <c r="K61" s="406" t="s">
        <v>306</v>
      </c>
      <c r="L61" s="406" t="str">
        <f t="shared" si="1"/>
        <v>-</v>
      </c>
      <c r="M61" s="405" t="str">
        <f t="shared" si="2"/>
        <v>Výsledek hospodaření za účetní období (+/-)  (ř. 52 + 58 - 59)</v>
      </c>
    </row>
    <row r="62" spans="1:13" x14ac:dyDescent="0.2">
      <c r="A62" s="408">
        <v>61</v>
      </c>
      <c r="B62" s="409" t="s">
        <v>426</v>
      </c>
      <c r="C62" s="409" t="s">
        <v>933</v>
      </c>
      <c r="D62" s="409" t="s">
        <v>934</v>
      </c>
      <c r="E62" s="410" t="s">
        <v>803</v>
      </c>
      <c r="F62" s="410" t="s">
        <v>399</v>
      </c>
      <c r="K62" s="406" t="s">
        <v>306</v>
      </c>
      <c r="L62" s="406" t="str">
        <f t="shared" si="1"/>
        <v>-</v>
      </c>
      <c r="M62" s="405" t="str">
        <f t="shared" si="2"/>
        <v>Výsledek hospodaření  před zdaněním (+/-)  (ř. 30 + 48 + 53 - 54)</v>
      </c>
    </row>
  </sheetData>
  <sortState ref="A2:J4">
    <sortCondition ref="A2:A4"/>
  </sortState>
  <pageMargins left="0.7" right="0.7" top="0.78740157499999996" bottom="0.78740157499999996" header="0.3" footer="0.3"/>
  <pageSetup orientation="portrait" horizontalDpi="4294967294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showGridLines="0" workbookViewId="0">
      <pane ySplit="1" topLeftCell="A2" activePane="bottomLeft" state="frozen"/>
      <selection activeCell="B139" sqref="B139"/>
      <selection pane="bottomLeft" activeCell="B139" sqref="B139"/>
    </sheetView>
  </sheetViews>
  <sheetFormatPr defaultRowHeight="12.75" x14ac:dyDescent="0.2"/>
  <cols>
    <col min="1" max="1" width="9.85546875" style="93" bestFit="1" customWidth="1"/>
    <col min="2" max="16384" width="9.140625" style="93"/>
  </cols>
  <sheetData>
    <row r="1" spans="1:1" x14ac:dyDescent="0.2">
      <c r="A1" s="95" t="s">
        <v>825</v>
      </c>
    </row>
    <row r="2" spans="1:1" x14ac:dyDescent="0.2">
      <c r="A2" s="94">
        <v>40574</v>
      </c>
    </row>
    <row r="3" spans="1:1" x14ac:dyDescent="0.2">
      <c r="A3" s="94">
        <v>40602</v>
      </c>
    </row>
    <row r="4" spans="1:1" x14ac:dyDescent="0.2">
      <c r="A4" s="94">
        <v>40633</v>
      </c>
    </row>
    <row r="5" spans="1:1" x14ac:dyDescent="0.2">
      <c r="A5" s="94">
        <v>40663</v>
      </c>
    </row>
    <row r="6" spans="1:1" x14ac:dyDescent="0.2">
      <c r="A6" s="94">
        <v>40694</v>
      </c>
    </row>
    <row r="7" spans="1:1" x14ac:dyDescent="0.2">
      <c r="A7" s="94">
        <v>40724</v>
      </c>
    </row>
    <row r="8" spans="1:1" x14ac:dyDescent="0.2">
      <c r="A8" s="94">
        <v>40755</v>
      </c>
    </row>
    <row r="9" spans="1:1" x14ac:dyDescent="0.2">
      <c r="A9" s="94">
        <v>40786</v>
      </c>
    </row>
    <row r="10" spans="1:1" x14ac:dyDescent="0.2">
      <c r="A10" s="94">
        <v>40816</v>
      </c>
    </row>
    <row r="11" spans="1:1" x14ac:dyDescent="0.2">
      <c r="A11" s="94">
        <v>40847</v>
      </c>
    </row>
    <row r="12" spans="1:1" x14ac:dyDescent="0.2">
      <c r="A12" s="94">
        <v>40877</v>
      </c>
    </row>
    <row r="13" spans="1:1" x14ac:dyDescent="0.2">
      <c r="A13" s="94">
        <v>40908</v>
      </c>
    </row>
    <row r="14" spans="1:1" x14ac:dyDescent="0.2">
      <c r="A14" s="94">
        <v>40939</v>
      </c>
    </row>
    <row r="15" spans="1:1" x14ac:dyDescent="0.2">
      <c r="A15" s="94">
        <v>40968</v>
      </c>
    </row>
    <row r="16" spans="1:1" x14ac:dyDescent="0.2">
      <c r="A16" s="94">
        <v>40999</v>
      </c>
    </row>
    <row r="17" spans="1:1" x14ac:dyDescent="0.2">
      <c r="A17" s="94">
        <v>41029</v>
      </c>
    </row>
    <row r="18" spans="1:1" x14ac:dyDescent="0.2">
      <c r="A18" s="94">
        <v>41060</v>
      </c>
    </row>
    <row r="19" spans="1:1" x14ac:dyDescent="0.2">
      <c r="A19" s="94">
        <v>41090</v>
      </c>
    </row>
    <row r="20" spans="1:1" x14ac:dyDescent="0.2">
      <c r="A20" s="94">
        <v>41121</v>
      </c>
    </row>
    <row r="21" spans="1:1" x14ac:dyDescent="0.2">
      <c r="A21" s="94">
        <v>41152</v>
      </c>
    </row>
    <row r="22" spans="1:1" x14ac:dyDescent="0.2">
      <c r="A22" s="94">
        <v>41182</v>
      </c>
    </row>
    <row r="23" spans="1:1" x14ac:dyDescent="0.2">
      <c r="A23" s="94">
        <v>41213</v>
      </c>
    </row>
    <row r="24" spans="1:1" x14ac:dyDescent="0.2">
      <c r="A24" s="94">
        <v>41243</v>
      </c>
    </row>
    <row r="25" spans="1:1" x14ac:dyDescent="0.2">
      <c r="A25" s="94">
        <v>41274</v>
      </c>
    </row>
    <row r="26" spans="1:1" x14ac:dyDescent="0.2">
      <c r="A26" s="94">
        <v>41305</v>
      </c>
    </row>
    <row r="27" spans="1:1" x14ac:dyDescent="0.2">
      <c r="A27" s="94">
        <v>41333</v>
      </c>
    </row>
    <row r="28" spans="1:1" x14ac:dyDescent="0.2">
      <c r="A28" s="94">
        <v>41364</v>
      </c>
    </row>
    <row r="29" spans="1:1" x14ac:dyDescent="0.2">
      <c r="A29" s="94">
        <v>41394</v>
      </c>
    </row>
    <row r="30" spans="1:1" x14ac:dyDescent="0.2">
      <c r="A30" s="94">
        <v>41425</v>
      </c>
    </row>
    <row r="31" spans="1:1" x14ac:dyDescent="0.2">
      <c r="A31" s="94">
        <v>41455</v>
      </c>
    </row>
    <row r="32" spans="1:1" x14ac:dyDescent="0.2">
      <c r="A32" s="94">
        <v>41486</v>
      </c>
    </row>
    <row r="33" spans="1:1" x14ac:dyDescent="0.2">
      <c r="A33" s="94">
        <v>41517</v>
      </c>
    </row>
    <row r="34" spans="1:1" x14ac:dyDescent="0.2">
      <c r="A34" s="94">
        <v>41547</v>
      </c>
    </row>
    <row r="35" spans="1:1" x14ac:dyDescent="0.2">
      <c r="A35" s="94">
        <v>41578</v>
      </c>
    </row>
    <row r="36" spans="1:1" x14ac:dyDescent="0.2">
      <c r="A36" s="94">
        <v>41608</v>
      </c>
    </row>
    <row r="37" spans="1:1" x14ac:dyDescent="0.2">
      <c r="A37" s="94">
        <v>41639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C4" sqref="C4"/>
    </sheetView>
  </sheetViews>
  <sheetFormatPr defaultColWidth="0" defaultRowHeight="12.75" zeroHeight="1" x14ac:dyDescent="0.2"/>
  <cols>
    <col min="1" max="1" width="3.7109375" style="14" customWidth="1"/>
    <col min="2" max="2" width="31.5703125" style="14" bestFit="1" customWidth="1"/>
    <col min="3" max="4" width="15.7109375" style="14" customWidth="1"/>
    <col min="5" max="6" width="12.7109375" style="14" customWidth="1"/>
    <col min="7" max="7" width="3.7109375" style="14" customWidth="1"/>
    <col min="8" max="8" width="8" style="14" hidden="1" customWidth="1"/>
    <col min="9" max="9" width="12.5703125" style="14" hidden="1" customWidth="1"/>
    <col min="10" max="10" width="18.140625" style="14" hidden="1" customWidth="1"/>
    <col min="11" max="11" width="24.7109375" style="14" hidden="1" customWidth="1"/>
    <col min="12" max="12" width="12.5703125" style="14" hidden="1" customWidth="1"/>
    <col min="13" max="16384" width="9.140625" style="14" hidden="1"/>
  </cols>
  <sheetData>
    <row r="1" spans="2:6" x14ac:dyDescent="0.2"/>
    <row r="2" spans="2:6" s="57" customFormat="1" ht="15.75" x14ac:dyDescent="0.2">
      <c r="B2" s="59" t="s">
        <v>355</v>
      </c>
      <c r="C2" s="60"/>
      <c r="D2" s="60"/>
      <c r="E2" s="60"/>
      <c r="F2" s="60"/>
    </row>
    <row r="3" spans="2:6" x14ac:dyDescent="0.2"/>
    <row r="4" spans="2:6" x14ac:dyDescent="0.2">
      <c r="B4" s="14" t="s">
        <v>354</v>
      </c>
      <c r="C4" s="135"/>
      <c r="D4" s="136"/>
      <c r="E4" s="136"/>
      <c r="F4" s="136"/>
    </row>
    <row r="5" spans="2:6" x14ac:dyDescent="0.2">
      <c r="C5" s="136"/>
      <c r="D5" s="136"/>
      <c r="E5" s="136"/>
      <c r="F5" s="136"/>
    </row>
    <row r="6" spans="2:6" x14ac:dyDescent="0.2">
      <c r="B6" s="14" t="s">
        <v>455</v>
      </c>
      <c r="C6" s="415"/>
      <c r="D6" s="415"/>
      <c r="E6" s="415"/>
      <c r="F6" s="415"/>
    </row>
    <row r="7" spans="2:6" x14ac:dyDescent="0.2">
      <c r="C7" s="136"/>
      <c r="D7" s="136"/>
      <c r="E7" s="136"/>
      <c r="F7" s="136"/>
    </row>
    <row r="8" spans="2:6" x14ac:dyDescent="0.2">
      <c r="B8" s="14" t="s">
        <v>356</v>
      </c>
      <c r="C8" s="415"/>
      <c r="D8" s="415"/>
      <c r="E8" s="415"/>
      <c r="F8" s="415"/>
    </row>
    <row r="9" spans="2:6" x14ac:dyDescent="0.2">
      <c r="C9" s="67"/>
      <c r="D9" s="67"/>
      <c r="E9" s="67"/>
      <c r="F9" s="67"/>
    </row>
    <row r="10" spans="2:6" x14ac:dyDescent="0.2"/>
    <row r="11" spans="2:6" s="53" customFormat="1" ht="15.75" x14ac:dyDescent="0.2">
      <c r="B11" s="58" t="s">
        <v>456</v>
      </c>
      <c r="C11" s="61" t="s">
        <v>457</v>
      </c>
      <c r="D11" s="61" t="s">
        <v>458</v>
      </c>
      <c r="E11" s="56"/>
      <c r="F11" s="56"/>
    </row>
    <row r="12" spans="2:6" x14ac:dyDescent="0.2">
      <c r="B12" s="14" t="s">
        <v>461</v>
      </c>
      <c r="C12" s="97"/>
      <c r="D12" s="98"/>
    </row>
    <row r="13" spans="2:6" x14ac:dyDescent="0.2"/>
    <row r="14" spans="2:6" x14ac:dyDescent="0.2">
      <c r="B14" s="14" t="s">
        <v>890</v>
      </c>
      <c r="C14" s="99"/>
    </row>
    <row r="15" spans="2:6" x14ac:dyDescent="0.2">
      <c r="B15" s="14" t="s">
        <v>891</v>
      </c>
    </row>
    <row r="16" spans="2:6" x14ac:dyDescent="0.2"/>
    <row r="17" spans="2:12" ht="12" customHeight="1" x14ac:dyDescent="0.2">
      <c r="B17" s="59" t="s">
        <v>842</v>
      </c>
      <c r="C17" s="96"/>
      <c r="D17" s="370">
        <f>IF(C17="tisíce",1000,IF(C17="miliony",1000000,1))</f>
        <v>1</v>
      </c>
      <c r="E17" s="54"/>
      <c r="F17" s="54"/>
      <c r="H17" s="14">
        <v>1</v>
      </c>
      <c r="I17" s="14" t="str">
        <f>IF(jazyk="česky",J17,IF(jazyk="anglicky",K17,IF(jazyk="německy",L17,"-")))</f>
        <v>v celých Kč</v>
      </c>
      <c r="J17" s="70" t="s">
        <v>794</v>
      </c>
      <c r="K17" s="70" t="s">
        <v>799</v>
      </c>
      <c r="L17" s="70" t="s">
        <v>802</v>
      </c>
    </row>
    <row r="18" spans="2:12" x14ac:dyDescent="0.2">
      <c r="H18" s="14">
        <v>1000</v>
      </c>
      <c r="I18" s="14" t="str">
        <f>IF(jazyk="česky",J18,IF(jazyk="anglicky",K18,IF(jazyk="německy",L18,"-")))</f>
        <v>v celých tisících Kč</v>
      </c>
      <c r="J18" s="70" t="s">
        <v>795</v>
      </c>
      <c r="K18" s="70" t="s">
        <v>797</v>
      </c>
      <c r="L18" s="70" t="s">
        <v>800</v>
      </c>
    </row>
    <row r="19" spans="2:12" ht="12" customHeight="1" x14ac:dyDescent="0.2">
      <c r="B19" s="59" t="s">
        <v>843</v>
      </c>
      <c r="C19" s="400" t="s">
        <v>921</v>
      </c>
      <c r="D19" s="54"/>
      <c r="E19" s="54"/>
      <c r="F19" s="54"/>
      <c r="H19" s="14">
        <v>1000000</v>
      </c>
      <c r="I19" s="14" t="str">
        <f>IF(jazyk="česky",J19,IF(jazyk="anglicky",K19,IF(jazyk="německy",L19,"-")))</f>
        <v>v celých milionech Kč</v>
      </c>
      <c r="J19" s="70" t="s">
        <v>796</v>
      </c>
      <c r="K19" s="70" t="s">
        <v>798</v>
      </c>
      <c r="L19" s="70" t="s">
        <v>801</v>
      </c>
    </row>
    <row r="20" spans="2:12" x14ac:dyDescent="0.2"/>
    <row r="21" spans="2:12" x14ac:dyDescent="0.2"/>
    <row r="22" spans="2:12" x14ac:dyDescent="0.2">
      <c r="C22" s="381" t="str">
        <f>IF(ISBLANK(C$12)," ",C$12)</f>
        <v xml:space="preserve"> </v>
      </c>
      <c r="D22" s="381" t="str">
        <f>IF(ISBLANK(D$12)," ",D$12)</f>
        <v xml:space="preserve"> </v>
      </c>
    </row>
    <row r="23" spans="2:12" s="361" customFormat="1" ht="24.75" customHeight="1" x14ac:dyDescent="0.25">
      <c r="B23" s="362" t="s">
        <v>883</v>
      </c>
      <c r="C23" s="363" t="s">
        <v>886</v>
      </c>
      <c r="D23" s="363" t="s">
        <v>885</v>
      </c>
      <c r="E23" s="363"/>
      <c r="F23" s="364"/>
    </row>
    <row r="24" spans="2:12" x14ac:dyDescent="0.2">
      <c r="B24" s="76" t="s">
        <v>881</v>
      </c>
      <c r="C24" s="365" t="str">
        <f>IF(COUNTIFS(DATA!O:O,"účet n/a")&gt;0,COUNTIFS(DATA!O:O,"účet n/a"),"žádný - OK")</f>
        <v>žádný - OK</v>
      </c>
      <c r="D24" s="366" t="str">
        <f>IF(C24="žádný - OK","-"," ")</f>
        <v>-</v>
      </c>
      <c r="E24" s="78"/>
      <c r="F24" s="78"/>
    </row>
    <row r="25" spans="2:12" x14ac:dyDescent="0.2">
      <c r="B25" s="79" t="s">
        <v>882</v>
      </c>
      <c r="C25" s="365" t="str">
        <f>IF(COUNTIFS(DATA!O:O,"doplnit",DATA!S:S,"-")&gt;0,COUNTIFS(DATA!O:O,"doplnit",DATA!S:S,"-"),"žádný - OK")</f>
        <v>žádný - OK</v>
      </c>
      <c r="D25" s="367" t="str">
        <f>IF(C25="žádný - OK","-"," ")</f>
        <v>-</v>
      </c>
      <c r="E25" s="78"/>
      <c r="F25" s="78"/>
    </row>
    <row r="26" spans="2:12" s="16" customFormat="1" x14ac:dyDescent="0.2">
      <c r="B26" s="359"/>
      <c r="C26" s="360"/>
      <c r="D26" s="360"/>
    </row>
    <row r="27" spans="2:12" ht="15.75" x14ac:dyDescent="0.2">
      <c r="B27" s="59" t="s">
        <v>884</v>
      </c>
      <c r="C27" s="380" t="str">
        <f t="shared" ref="C27:D27" si="0">IF(ISBLANK(C$12)," ",C$12)</f>
        <v xml:space="preserve"> </v>
      </c>
      <c r="D27" s="380" t="str">
        <f t="shared" si="0"/>
        <v xml:space="preserve"> </v>
      </c>
      <c r="E27" s="55"/>
      <c r="F27" s="55"/>
    </row>
    <row r="28" spans="2:12" x14ac:dyDescent="0.2">
      <c r="B28" s="76" t="s">
        <v>451</v>
      </c>
      <c r="C28" s="77">
        <f>AKTIVA!N8</f>
        <v>0</v>
      </c>
      <c r="D28" s="77">
        <f>AKTIVA!O8</f>
        <v>0</v>
      </c>
      <c r="E28" s="78"/>
      <c r="F28" s="78"/>
      <c r="G28" s="416" t="s">
        <v>920</v>
      </c>
    </row>
    <row r="29" spans="2:12" x14ac:dyDescent="0.2">
      <c r="B29" s="79" t="s">
        <v>452</v>
      </c>
      <c r="C29" s="77">
        <f>PASIVA!L8</f>
        <v>0</v>
      </c>
      <c r="D29" s="77">
        <f>PASIVA!M8</f>
        <v>0</v>
      </c>
      <c r="E29" s="78"/>
      <c r="F29" s="78"/>
      <c r="G29" s="417"/>
    </row>
    <row r="30" spans="2:12" x14ac:dyDescent="0.2">
      <c r="B30" s="80" t="s">
        <v>459</v>
      </c>
      <c r="C30" s="81">
        <f>ROUND(C28-C29,2)</f>
        <v>0</v>
      </c>
      <c r="D30" s="81">
        <f>ROUND(D28-D29,2)</f>
        <v>0</v>
      </c>
      <c r="E30" s="82"/>
      <c r="F30" s="82"/>
      <c r="G30" s="417"/>
    </row>
    <row r="31" spans="2:12" x14ac:dyDescent="0.2">
      <c r="B31" s="83" t="s">
        <v>453</v>
      </c>
      <c r="C31" s="77">
        <f>'VÝKAZ ZZ'!L67</f>
        <v>0</v>
      </c>
      <c r="D31" s="77">
        <f>'VÝKAZ ZZ'!M67</f>
        <v>0</v>
      </c>
      <c r="E31" s="78"/>
      <c r="F31" s="78"/>
      <c r="G31" s="417"/>
    </row>
    <row r="32" spans="2:12" x14ac:dyDescent="0.2">
      <c r="B32" s="76" t="s">
        <v>454</v>
      </c>
      <c r="C32" s="77">
        <f>PASIVA!L28</f>
        <v>0</v>
      </c>
      <c r="D32" s="77">
        <f>PASIVA!M28</f>
        <v>0</v>
      </c>
      <c r="E32" s="78"/>
      <c r="F32" s="78"/>
      <c r="G32" s="417"/>
    </row>
    <row r="33" spans="2:7" x14ac:dyDescent="0.2">
      <c r="B33" s="80" t="s">
        <v>460</v>
      </c>
      <c r="C33" s="81">
        <f>ROUND(C31-C32,2)</f>
        <v>0</v>
      </c>
      <c r="D33" s="81">
        <f>ROUND(D31-D32,2)</f>
        <v>0</v>
      </c>
      <c r="E33" s="82"/>
      <c r="F33" s="82"/>
      <c r="G33" s="417"/>
    </row>
    <row r="34" spans="2:7" x14ac:dyDescent="0.2"/>
    <row r="35" spans="2:7" x14ac:dyDescent="0.2">
      <c r="F35" s="41"/>
    </row>
    <row r="36" spans="2:7" x14ac:dyDescent="0.2"/>
    <row r="37" spans="2:7" x14ac:dyDescent="0.2"/>
    <row r="38" spans="2:7" x14ac:dyDescent="0.2"/>
  </sheetData>
  <sheetProtection password="DD47" sheet="1" objects="1" scenarios="1"/>
  <mergeCells count="3">
    <mergeCell ref="C6:F6"/>
    <mergeCell ref="C8:F8"/>
    <mergeCell ref="G28:G33"/>
  </mergeCells>
  <conditionalFormatting sqref="C30:D30 C33:D33">
    <cfRule type="cellIs" dxfId="101" priority="3" operator="notEqual">
      <formula>0</formula>
    </cfRule>
    <cfRule type="cellIs" dxfId="100" priority="4" operator="equal">
      <formula>0</formula>
    </cfRule>
  </conditionalFormatting>
  <conditionalFormatting sqref="D24">
    <cfRule type="cellIs" dxfId="99" priority="2" operator="equal">
      <formula>" "</formula>
    </cfRule>
  </conditionalFormatting>
  <conditionalFormatting sqref="D25">
    <cfRule type="cellIs" dxfId="98" priority="1" operator="equal">
      <formula>" "</formula>
    </cfRule>
  </conditionalFormatting>
  <dataValidations count="2">
    <dataValidation type="list" allowBlank="1" showInputMessage="1" showErrorMessage="1" sqref="C17">
      <formula1>"jednotky,tisíce,miliony"</formula1>
    </dataValidation>
    <dataValidation type="list" allowBlank="1" showInputMessage="1" showErrorMessage="1" sqref="C19">
      <formula1>"česky,anglicky,německy"</formula1>
    </dataValidation>
  </dataValidations>
  <pageMargins left="0.39370078740157483" right="0.39370078740157483" top="0.39370078740157483" bottom="0.39370078740157483" header="0" footer="0"/>
  <pageSetup paperSize="9" orientation="portrait" r:id="rId1"/>
  <headerFooter scaleWithDoc="0">
    <oddFooter>&amp;L&amp;G&amp;C&amp;"-,Obyčejné"&amp;8&amp;K00-049Tisk: &amp;D &amp;T&amp;R&amp;"-,Obyčejné"&amp;8&amp;K00-049&amp;F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Y12"/>
  <sheetViews>
    <sheetView showGridLines="0" workbookViewId="0">
      <pane ySplit="1" topLeftCell="A2" activePane="bottomLeft" state="frozen"/>
      <selection activeCell="C4" sqref="C4"/>
      <selection pane="bottomLeft" activeCell="C2" sqref="C2"/>
    </sheetView>
  </sheetViews>
  <sheetFormatPr defaultColWidth="9.140625" defaultRowHeight="11.25" outlineLevelCol="1" x14ac:dyDescent="0.2"/>
  <cols>
    <col min="1" max="1" width="1.7109375" style="2" customWidth="1"/>
    <col min="2" max="2" width="6.5703125" style="104" bestFit="1" customWidth="1"/>
    <col min="3" max="3" width="8.7109375" style="104" bestFit="1" customWidth="1"/>
    <col min="4" max="4" width="6.28515625" style="104" bestFit="1" customWidth="1"/>
    <col min="5" max="5" width="13" style="104" customWidth="1"/>
    <col min="6" max="6" width="12.7109375" style="105" bestFit="1" customWidth="1"/>
    <col min="7" max="7" width="9.5703125" style="105" bestFit="1" customWidth="1"/>
    <col min="8" max="8" width="8.140625" style="105" bestFit="1" customWidth="1"/>
    <col min="9" max="9" width="11" style="106" bestFit="1" customWidth="1" collapsed="1"/>
    <col min="10" max="10" width="41.28515625" style="29" hidden="1" customWidth="1" outlineLevel="1"/>
    <col min="11" max="11" width="6.7109375" style="6" customWidth="1" collapsed="1"/>
    <col min="12" max="12" width="54.7109375" style="8" hidden="1" customWidth="1" outlineLevel="1"/>
    <col min="13" max="13" width="8.5703125" style="29" bestFit="1" customWidth="1"/>
    <col min="14" max="14" width="8.7109375" style="29" customWidth="1"/>
    <col min="15" max="15" width="7" style="6" customWidth="1" collapsed="1"/>
    <col min="16" max="16" width="7.5703125" style="6" hidden="1" customWidth="1" outlineLevel="1"/>
    <col min="17" max="17" width="7.42578125" style="6" hidden="1" customWidth="1" outlineLevel="1"/>
    <col min="18" max="18" width="8" style="108" bestFit="1" customWidth="1"/>
    <col min="19" max="19" width="7" style="11" bestFit="1" customWidth="1" collapsed="1"/>
    <col min="20" max="20" width="37.140625" style="30" hidden="1" customWidth="1" outlineLevel="1"/>
    <col min="21" max="21" width="5.5703125" style="43" customWidth="1"/>
    <col min="22" max="22" width="4.85546875" style="43" customWidth="1" collapsed="1"/>
    <col min="23" max="23" width="33.5703125" style="256" hidden="1" customWidth="1" outlineLevel="1"/>
    <col min="24" max="24" width="10.85546875" style="8" bestFit="1" customWidth="1"/>
    <col min="25" max="25" width="11.5703125" style="9" bestFit="1" customWidth="1"/>
    <col min="26" max="26" width="9.5703125" style="2" bestFit="1" customWidth="1"/>
    <col min="27" max="16384" width="9.140625" style="2"/>
  </cols>
  <sheetData>
    <row r="1" spans="2:25" s="3" customFormat="1" x14ac:dyDescent="0.2">
      <c r="B1" s="100" t="s">
        <v>828</v>
      </c>
      <c r="C1" s="100" t="s">
        <v>264</v>
      </c>
      <c r="D1" s="100" t="s">
        <v>404</v>
      </c>
      <c r="E1" s="100" t="s">
        <v>263</v>
      </c>
      <c r="F1" s="101" t="s">
        <v>816</v>
      </c>
      <c r="G1" s="114" t="s">
        <v>817</v>
      </c>
      <c r="H1" s="114" t="s">
        <v>818</v>
      </c>
      <c r="I1" s="102" t="s">
        <v>262</v>
      </c>
      <c r="J1" s="90" t="s">
        <v>827</v>
      </c>
      <c r="K1" s="7" t="s">
        <v>405</v>
      </c>
      <c r="L1" s="7" t="s">
        <v>826</v>
      </c>
      <c r="M1" s="90" t="s">
        <v>268</v>
      </c>
      <c r="N1" s="90" t="s">
        <v>380</v>
      </c>
      <c r="O1" s="7" t="s">
        <v>819</v>
      </c>
      <c r="P1" s="7" t="s">
        <v>820</v>
      </c>
      <c r="Q1" s="7" t="s">
        <v>821</v>
      </c>
      <c r="R1" s="107" t="s">
        <v>822</v>
      </c>
      <c r="S1" s="7" t="s">
        <v>823</v>
      </c>
      <c r="T1" s="28" t="s">
        <v>824</v>
      </c>
      <c r="U1" s="42" t="s">
        <v>812</v>
      </c>
      <c r="V1" s="42" t="s">
        <v>813</v>
      </c>
      <c r="W1" s="255" t="s">
        <v>814</v>
      </c>
      <c r="X1" s="7" t="s">
        <v>289</v>
      </c>
      <c r="Y1" s="10" t="s">
        <v>450</v>
      </c>
    </row>
    <row r="2" spans="2:25" ht="11.25" customHeight="1" x14ac:dyDescent="0.2">
      <c r="B2" s="109"/>
      <c r="C2" s="103"/>
      <c r="J2" s="29" t="str">
        <f t="shared" ref="J2" si="0">CONCATENATE(D2," ",E2)</f>
        <v xml:space="preserve"> </v>
      </c>
      <c r="K2" s="6" t="str">
        <f>IF(I2=0,"-",VALUE(LEFT(D2,LEN(D2)-(INDEX!$C$14-3))))</f>
        <v>-</v>
      </c>
      <c r="L2" s="8" t="str">
        <f>IF(I2=0,"-",VLOOKUP(K2,ucty_synt!A:B,2,0))</f>
        <v>-</v>
      </c>
      <c r="M2" s="29" t="str">
        <f>IF(S2="-","-",VLOOKUP(K2,ucty_synt!A:O,3,0))</f>
        <v>-</v>
      </c>
      <c r="N2" s="29" t="str">
        <f>IF(I2=0,"-",IF(M2="Rozvaha",VLOOKUP(S2,'řádky R'!A:M,6,0),IF(M2="Výsledovka",VLOOKUP(S2,'řádky V'!A:M,6,0),"-")))</f>
        <v>-</v>
      </c>
      <c r="O2" s="6" t="str">
        <f>IF(I2=0,"-",IF(COUNTIF(ucty_synt!A:A,K2)=0,"účet n/a",IF(VLOOKUP(K2,ucty_synt!A:O,4,0)=RIGHT($P$1,5),"podle AÚ",IF(VLOOKUP(K2,ucty_synt!A:O,4,0)=RIGHT($Q$1,5),"podle SÚ",IF(SUMIF(ucty_synt!A:A,K2,ucty_synt!E:E)&lt;&gt;0,SUMIF(ucty_synt!A:A,K2,ucty_synt!E:E),"doplnit")))))</f>
        <v>-</v>
      </c>
      <c r="P2" s="6" t="str">
        <f>IF(I2=0,"-",IF(VLOOKUP(K2,ucty_synt!A:O,4,0)=RIGHT($P$1,5),IF(SUMIFS(I:I,C:C,C2,D:D,D2)&gt;=0,SUMIF(ucty_synt!A:A,K2,ucty_synt!E:E),SUMIF(ucty_synt!A:A,K2,ucty_synt!J:J)),"-"))</f>
        <v>-</v>
      </c>
      <c r="Q2" s="6" t="str">
        <f>IF(I2=0,"-",IF(VLOOKUP(K2,ucty_synt!A:O,4,0)=RIGHT($Q$1,5),IF(SUMIFS(I:I,C:C,C2,K:K,K2)&gt;=0,SUMIF(ucty_synt!A:A,K2,ucty_synt!E:E),SUMIF(ucty_synt!A:A,K2,ucty_synt!J:J)),"-"))</f>
        <v>-</v>
      </c>
      <c r="S2" s="11" t="str">
        <f t="shared" ref="S2:S12" si="1">IF(ISNUMBER(R2),R2,IF(ISNUMBER(Q2),Q2,IF(ISNUMBER(P2),P2,IF(ISNUMBER(O2),O2,"-"))))</f>
        <v>-</v>
      </c>
      <c r="T2" s="29" t="str">
        <f>IF(S2="-","-",IF(M2="Rozvaha",VLOOKUP(S2,'řádky R'!A:M,12,0),IF(M2="Výsledovka",VLOOKUP(S2,'řádky V'!A:M,12,0),"-")))</f>
        <v>-</v>
      </c>
      <c r="U2" s="43" t="str">
        <f>IF(I2=0,"-",IF(M2="Rozvaha",VLOOKUP(S2,'řádky R'!A:M,8,0),IF(M2="Výsledovka",VLOOKUP(S2,'řádky V'!A:M,8,0),"-")))</f>
        <v>-</v>
      </c>
      <c r="V2" s="43" t="str">
        <f>IF(I2=0,"-",IF(M2="Rozvaha",VLOOKUP(S2,'řádky R'!A:M,9,0),IF(M2="Výsledovka",VLOOKUP(S2,'řádky V'!A:M,9,0),"-")))</f>
        <v>-</v>
      </c>
      <c r="W2" s="256" t="str">
        <f>IF(I2=0,"-",IF(M2="Rozvaha",VLOOKUP(S2,'řádky R'!A:M,11,0),IF(M2="Výsledovka",VLOOKUP(S2,'řádky V'!A:M,11,0),"-")))</f>
        <v>-</v>
      </c>
      <c r="X2" s="8" t="str">
        <f>IF(I2=0,"-",VLOOKUP(K2,ucty_synt!A:O,15,0))</f>
        <v>-</v>
      </c>
      <c r="Y2" s="9">
        <f t="shared" ref="Y2" si="2">I2/zaokr</f>
        <v>0</v>
      </c>
    </row>
    <row r="3" spans="2:25" ht="11.25" customHeight="1" x14ac:dyDescent="0.2">
      <c r="B3" s="109"/>
      <c r="C3" s="110"/>
      <c r="D3" s="111"/>
      <c r="E3" s="111"/>
      <c r="F3" s="112"/>
      <c r="G3" s="112"/>
      <c r="H3" s="112"/>
      <c r="I3" s="113"/>
      <c r="J3" s="29" t="str">
        <f t="shared" ref="J3:J10" si="3">CONCATENATE(D3," ",E3)</f>
        <v xml:space="preserve"> </v>
      </c>
      <c r="K3" s="6" t="str">
        <f>IF(I3=0,"-",VALUE(LEFT(D3,LEN(D3)-(INDEX!$C$14-3))))</f>
        <v>-</v>
      </c>
      <c r="L3" s="8" t="str">
        <f>IF(I3=0,"-",VLOOKUP(K3,ucty_synt!A:B,2,0))</f>
        <v>-</v>
      </c>
      <c r="M3" s="29" t="str">
        <f>IF(S3="-","-",VLOOKUP(K3,ucty_synt!A:O,3,0))</f>
        <v>-</v>
      </c>
      <c r="N3" s="29" t="str">
        <f>IF(I3=0,"-",IF(M3="Rozvaha",VLOOKUP(S3,'řádky R'!A:M,6,0),IF(M3="Výsledovka",VLOOKUP(S3,'řádky V'!A:M,6,0),"-")))</f>
        <v>-</v>
      </c>
      <c r="O3" s="6" t="str">
        <f>IF(I3=0,"-",IF(COUNTIF(ucty_synt!A:A,K3)=0,"účet n/a",IF(VLOOKUP(K3,ucty_synt!A:O,4,0)=RIGHT($P$1,5),"podle AÚ",IF(VLOOKUP(K3,ucty_synt!A:O,4,0)=RIGHT($Q$1,5),"podle SÚ",IF(SUMIF(ucty_synt!A:A,K3,ucty_synt!E:E)&lt;&gt;0,SUMIF(ucty_synt!A:A,K3,ucty_synt!E:E),"doplnit")))))</f>
        <v>-</v>
      </c>
      <c r="P3" s="6" t="str">
        <f>IF(I3=0,"-",IF(VLOOKUP(K3,ucty_synt!A:O,4,0)=RIGHT($P$1,5),IF(SUMIFS(I:I,C:C,C3,D:D,D3)&gt;=0,SUMIF(ucty_synt!A:A,K3,ucty_synt!E:E),SUMIF(ucty_synt!A:A,K3,ucty_synt!J:J)),"-"))</f>
        <v>-</v>
      </c>
      <c r="Q3" s="6" t="str">
        <f>IF(I3=0,"-",IF(VLOOKUP(K3,ucty_synt!A:O,4,0)=RIGHT($Q$1,5),IF(SUMIFS(I:I,C:C,C3,K:K,K3)&gt;=0,SUMIF(ucty_synt!A:A,K3,ucty_synt!E:E),SUMIF(ucty_synt!A:A,K3,ucty_synt!J:J)),"-"))</f>
        <v>-</v>
      </c>
      <c r="S3" s="11" t="str">
        <f t="shared" ref="S3:S10" si="4">IF(ISNUMBER(R3),R3,IF(ISNUMBER(Q3),Q3,IF(ISNUMBER(P3),P3,IF(ISNUMBER(O3),O3,"-"))))</f>
        <v>-</v>
      </c>
      <c r="T3" s="29" t="str">
        <f>IF(S3="-","-",IF(M3="Rozvaha",VLOOKUP(S3,'řádky R'!A:M,12,0),IF(M3="Výsledovka",VLOOKUP(S3,'řádky V'!A:M,12,0),"-")))</f>
        <v>-</v>
      </c>
      <c r="U3" s="43" t="str">
        <f>IF(I3=0,"-",IF(M3="Rozvaha",VLOOKUP(S3,'řádky R'!A:M,8,0),IF(M3="Výsledovka",VLOOKUP(S3,'řádky V'!A:M,8,0),"-")))</f>
        <v>-</v>
      </c>
      <c r="V3" s="43" t="str">
        <f>IF(I3=0,"-",IF(M3="Rozvaha",VLOOKUP(S3,'řádky R'!A:M,9,0),IF(M3="Výsledovka",VLOOKUP(S3,'řádky V'!A:M,9,0),"-")))</f>
        <v>-</v>
      </c>
      <c r="W3" s="256" t="str">
        <f>IF(I3=0,"-",IF(M3="Rozvaha",VLOOKUP(S3,'řádky R'!A:M,11,0),IF(M3="Výsledovka",VLOOKUP(S3,'řádky V'!A:M,11,0),"-")))</f>
        <v>-</v>
      </c>
      <c r="X3" s="8" t="str">
        <f>IF(I3=0,"-",VLOOKUP(K3,ucty_synt!A:O,15,0))</f>
        <v>-</v>
      </c>
      <c r="Y3" s="9">
        <f t="shared" ref="Y3:Y10" si="5">I3/zaokr</f>
        <v>0</v>
      </c>
    </row>
    <row r="4" spans="2:25" ht="11.25" customHeight="1" x14ac:dyDescent="0.2">
      <c r="B4" s="109"/>
      <c r="C4" s="110"/>
      <c r="D4" s="111"/>
      <c r="E4" s="111"/>
      <c r="F4" s="112"/>
      <c r="G4" s="112"/>
      <c r="H4" s="112"/>
      <c r="I4" s="113"/>
      <c r="J4" s="29" t="str">
        <f t="shared" si="3"/>
        <v xml:space="preserve"> </v>
      </c>
      <c r="K4" s="6" t="str">
        <f>IF(I4=0,"-",VALUE(LEFT(D4,LEN(D4)-(INDEX!$C$14-3))))</f>
        <v>-</v>
      </c>
      <c r="L4" s="8" t="str">
        <f>IF(I4=0,"-",VLOOKUP(K4,ucty_synt!A:B,2,0))</f>
        <v>-</v>
      </c>
      <c r="M4" s="29" t="str">
        <f>IF(S4="-","-",VLOOKUP(K4,ucty_synt!A:O,3,0))</f>
        <v>-</v>
      </c>
      <c r="N4" s="29" t="str">
        <f>IF(I4=0,"-",IF(M4="Rozvaha",VLOOKUP(S4,'řádky R'!A:M,6,0),IF(M4="Výsledovka",VLOOKUP(S4,'řádky V'!A:M,6,0),"-")))</f>
        <v>-</v>
      </c>
      <c r="O4" s="6" t="str">
        <f>IF(I4=0,"-",IF(COUNTIF(ucty_synt!A:A,K4)=0,"účet n/a",IF(VLOOKUP(K4,ucty_synt!A:O,4,0)=RIGHT($P$1,5),"podle AÚ",IF(VLOOKUP(K4,ucty_synt!A:O,4,0)=RIGHT($Q$1,5),"podle SÚ",IF(SUMIF(ucty_synt!A:A,K4,ucty_synt!E:E)&lt;&gt;0,SUMIF(ucty_synt!A:A,K4,ucty_synt!E:E),"doplnit")))))</f>
        <v>-</v>
      </c>
      <c r="P4" s="6" t="str">
        <f>IF(I4=0,"-",IF(VLOOKUP(K4,ucty_synt!A:O,4,0)=RIGHT($P$1,5),IF(SUMIFS(I:I,C:C,C4,D:D,D4)&gt;=0,SUMIF(ucty_synt!A:A,K4,ucty_synt!E:E),SUMIF(ucty_synt!A:A,K4,ucty_synt!J:J)),"-"))</f>
        <v>-</v>
      </c>
      <c r="Q4" s="6" t="str">
        <f>IF(I4=0,"-",IF(VLOOKUP(K4,ucty_synt!A:O,4,0)=RIGHT($Q$1,5),IF(SUMIFS(I:I,C:C,C4,K:K,K4)&gt;=0,SUMIF(ucty_synt!A:A,K4,ucty_synt!E:E),SUMIF(ucty_synt!A:A,K4,ucty_synt!J:J)),"-"))</f>
        <v>-</v>
      </c>
      <c r="S4" s="11" t="str">
        <f t="shared" si="4"/>
        <v>-</v>
      </c>
      <c r="T4" s="29" t="str">
        <f>IF(S4="-","-",IF(M4="Rozvaha",VLOOKUP(S4,'řádky R'!A:M,12,0),IF(M4="Výsledovka",VLOOKUP(S4,'řádky V'!A:M,12,0),"-")))</f>
        <v>-</v>
      </c>
      <c r="U4" s="43" t="str">
        <f>IF(I4=0,"-",IF(M4="Rozvaha",VLOOKUP(S4,'řádky R'!A:M,8,0),IF(M4="Výsledovka",VLOOKUP(S4,'řádky V'!A:M,8,0),"-")))</f>
        <v>-</v>
      </c>
      <c r="V4" s="43" t="str">
        <f>IF(I4=0,"-",IF(M4="Rozvaha",VLOOKUP(S4,'řádky R'!A:M,9,0),IF(M4="Výsledovka",VLOOKUP(S4,'řádky V'!A:M,9,0),"-")))</f>
        <v>-</v>
      </c>
      <c r="W4" s="256" t="str">
        <f>IF(I4=0,"-",IF(M4="Rozvaha",VLOOKUP(S4,'řádky R'!A:M,11,0),IF(M4="Výsledovka",VLOOKUP(S4,'řádky V'!A:M,11,0),"-")))</f>
        <v>-</v>
      </c>
      <c r="X4" s="8" t="str">
        <f>IF(I4=0,"-",VLOOKUP(K4,ucty_synt!A:O,15,0))</f>
        <v>-</v>
      </c>
      <c r="Y4" s="9">
        <f t="shared" si="5"/>
        <v>0</v>
      </c>
    </row>
    <row r="5" spans="2:25" ht="11.25" customHeight="1" x14ac:dyDescent="0.2">
      <c r="B5" s="109"/>
      <c r="C5" s="110"/>
      <c r="D5" s="111"/>
      <c r="E5" s="111"/>
      <c r="F5" s="112"/>
      <c r="G5" s="112"/>
      <c r="H5" s="112"/>
      <c r="I5" s="113"/>
      <c r="J5" s="29" t="str">
        <f t="shared" si="3"/>
        <v xml:space="preserve"> </v>
      </c>
      <c r="K5" s="6" t="str">
        <f>IF(I5=0,"-",VALUE(LEFT(D5,LEN(D5)-(INDEX!$C$14-3))))</f>
        <v>-</v>
      </c>
      <c r="L5" s="8" t="str">
        <f>IF(I5=0,"-",VLOOKUP(K5,ucty_synt!A:B,2,0))</f>
        <v>-</v>
      </c>
      <c r="M5" s="29" t="str">
        <f>IF(S5="-","-",VLOOKUP(K5,ucty_synt!A:O,3,0))</f>
        <v>-</v>
      </c>
      <c r="N5" s="29" t="str">
        <f>IF(I5=0,"-",IF(M5="Rozvaha",VLOOKUP(S5,'řádky R'!A:M,6,0),IF(M5="Výsledovka",VLOOKUP(S5,'řádky V'!A:M,6,0),"-")))</f>
        <v>-</v>
      </c>
      <c r="O5" s="6" t="str">
        <f>IF(I5=0,"-",IF(COUNTIF(ucty_synt!A:A,K5)=0,"účet n/a",IF(VLOOKUP(K5,ucty_synt!A:O,4,0)=RIGHT($P$1,5),"podle AÚ",IF(VLOOKUP(K5,ucty_synt!A:O,4,0)=RIGHT($Q$1,5),"podle SÚ",IF(SUMIF(ucty_synt!A:A,K5,ucty_synt!E:E)&lt;&gt;0,SUMIF(ucty_synt!A:A,K5,ucty_synt!E:E),"doplnit")))))</f>
        <v>-</v>
      </c>
      <c r="P5" s="6" t="str">
        <f>IF(I5=0,"-",IF(VLOOKUP(K5,ucty_synt!A:O,4,0)=RIGHT($P$1,5),IF(SUMIFS(I:I,C:C,C5,D:D,D5)&gt;=0,SUMIF(ucty_synt!A:A,K5,ucty_synt!E:E),SUMIF(ucty_synt!A:A,K5,ucty_synt!J:J)),"-"))</f>
        <v>-</v>
      </c>
      <c r="Q5" s="6" t="str">
        <f>IF(I5=0,"-",IF(VLOOKUP(K5,ucty_synt!A:O,4,0)=RIGHT($Q$1,5),IF(SUMIFS(I:I,C:C,C5,K:K,K5)&gt;=0,SUMIF(ucty_synt!A:A,K5,ucty_synt!E:E),SUMIF(ucty_synt!A:A,K5,ucty_synt!J:J)),"-"))</f>
        <v>-</v>
      </c>
      <c r="S5" s="11" t="str">
        <f t="shared" si="4"/>
        <v>-</v>
      </c>
      <c r="T5" s="29" t="str">
        <f>IF(S5="-","-",IF(M5="Rozvaha",VLOOKUP(S5,'řádky R'!A:M,12,0),IF(M5="Výsledovka",VLOOKUP(S5,'řádky V'!A:M,12,0),"-")))</f>
        <v>-</v>
      </c>
      <c r="U5" s="43" t="str">
        <f>IF(I5=0,"-",IF(M5="Rozvaha",VLOOKUP(S5,'řádky R'!A:M,8,0),IF(M5="Výsledovka",VLOOKUP(S5,'řádky V'!A:M,8,0),"-")))</f>
        <v>-</v>
      </c>
      <c r="V5" s="43" t="str">
        <f>IF(I5=0,"-",IF(M5="Rozvaha",VLOOKUP(S5,'řádky R'!A:M,9,0),IF(M5="Výsledovka",VLOOKUP(S5,'řádky V'!A:M,9,0),"-")))</f>
        <v>-</v>
      </c>
      <c r="W5" s="256" t="str">
        <f>IF(I5=0,"-",IF(M5="Rozvaha",VLOOKUP(S5,'řádky R'!A:M,11,0),IF(M5="Výsledovka",VLOOKUP(S5,'řádky V'!A:M,11,0),"-")))</f>
        <v>-</v>
      </c>
      <c r="X5" s="8" t="str">
        <f>IF(I5=0,"-",VLOOKUP(K5,ucty_synt!A:O,15,0))</f>
        <v>-</v>
      </c>
      <c r="Y5" s="9">
        <f t="shared" si="5"/>
        <v>0</v>
      </c>
    </row>
    <row r="6" spans="2:25" ht="11.25" customHeight="1" x14ac:dyDescent="0.2">
      <c r="B6" s="109"/>
      <c r="C6" s="110"/>
      <c r="D6" s="111"/>
      <c r="E6" s="111"/>
      <c r="F6" s="112"/>
      <c r="G6" s="112"/>
      <c r="H6" s="112"/>
      <c r="I6" s="113"/>
      <c r="J6" s="29" t="str">
        <f t="shared" si="3"/>
        <v xml:space="preserve"> </v>
      </c>
      <c r="K6" s="6" t="str">
        <f>IF(I6=0,"-",VALUE(LEFT(D6,LEN(D6)-(INDEX!$C$14-3))))</f>
        <v>-</v>
      </c>
      <c r="L6" s="8" t="str">
        <f>IF(I6=0,"-",VLOOKUP(K6,ucty_synt!A:B,2,0))</f>
        <v>-</v>
      </c>
      <c r="M6" s="29" t="str">
        <f>IF(S6="-","-",VLOOKUP(K6,ucty_synt!A:O,3,0))</f>
        <v>-</v>
      </c>
      <c r="N6" s="29" t="str">
        <f>IF(I6=0,"-",IF(M6="Rozvaha",VLOOKUP(S6,'řádky R'!A:M,6,0),IF(M6="Výsledovka",VLOOKUP(S6,'řádky V'!A:M,6,0),"-")))</f>
        <v>-</v>
      </c>
      <c r="O6" s="6" t="str">
        <f>IF(I6=0,"-",IF(COUNTIF(ucty_synt!A:A,K6)=0,"účet n/a",IF(VLOOKUP(K6,ucty_synt!A:O,4,0)=RIGHT($P$1,5),"podle AÚ",IF(VLOOKUP(K6,ucty_synt!A:O,4,0)=RIGHT($Q$1,5),"podle SÚ",IF(SUMIF(ucty_synt!A:A,K6,ucty_synt!E:E)&lt;&gt;0,SUMIF(ucty_synt!A:A,K6,ucty_synt!E:E),"doplnit")))))</f>
        <v>-</v>
      </c>
      <c r="P6" s="6" t="str">
        <f>IF(I6=0,"-",IF(VLOOKUP(K6,ucty_synt!A:O,4,0)=RIGHT($P$1,5),IF(SUMIFS(I:I,C:C,C6,D:D,D6)&gt;=0,SUMIF(ucty_synt!A:A,K6,ucty_synt!E:E),SUMIF(ucty_synt!A:A,K6,ucty_synt!J:J)),"-"))</f>
        <v>-</v>
      </c>
      <c r="Q6" s="6" t="str">
        <f>IF(I6=0,"-",IF(VLOOKUP(K6,ucty_synt!A:O,4,0)=RIGHT($Q$1,5),IF(SUMIFS(I:I,C:C,C6,K:K,K6)&gt;=0,SUMIF(ucty_synt!A:A,K6,ucty_synt!E:E),SUMIF(ucty_synt!A:A,K6,ucty_synt!J:J)),"-"))</f>
        <v>-</v>
      </c>
      <c r="S6" s="11" t="str">
        <f t="shared" si="4"/>
        <v>-</v>
      </c>
      <c r="T6" s="29" t="str">
        <f>IF(S6="-","-",IF(M6="Rozvaha",VLOOKUP(S6,'řádky R'!A:M,12,0),IF(M6="Výsledovka",VLOOKUP(S6,'řádky V'!A:M,12,0),"-")))</f>
        <v>-</v>
      </c>
      <c r="U6" s="43" t="str">
        <f>IF(I6=0,"-",IF(M6="Rozvaha",VLOOKUP(S6,'řádky R'!A:M,8,0),IF(M6="Výsledovka",VLOOKUP(S6,'řádky V'!A:M,8,0),"-")))</f>
        <v>-</v>
      </c>
      <c r="V6" s="43" t="str">
        <f>IF(I6=0,"-",IF(M6="Rozvaha",VLOOKUP(S6,'řádky R'!A:M,9,0),IF(M6="Výsledovka",VLOOKUP(S6,'řádky V'!A:M,9,0),"-")))</f>
        <v>-</v>
      </c>
      <c r="W6" s="256" t="str">
        <f>IF(I6=0,"-",IF(M6="Rozvaha",VLOOKUP(S6,'řádky R'!A:M,11,0),IF(M6="Výsledovka",VLOOKUP(S6,'řádky V'!A:M,11,0),"-")))</f>
        <v>-</v>
      </c>
      <c r="X6" s="8" t="str">
        <f>IF(I6=0,"-",VLOOKUP(K6,ucty_synt!A:O,15,0))</f>
        <v>-</v>
      </c>
      <c r="Y6" s="9">
        <f t="shared" si="5"/>
        <v>0</v>
      </c>
    </row>
    <row r="7" spans="2:25" ht="11.25" customHeight="1" x14ac:dyDescent="0.2">
      <c r="B7" s="109"/>
      <c r="C7" s="110"/>
      <c r="D7" s="111"/>
      <c r="E7" s="111"/>
      <c r="F7" s="112"/>
      <c r="G7" s="112"/>
      <c r="H7" s="112"/>
      <c r="I7" s="113"/>
      <c r="J7" s="29" t="str">
        <f t="shared" si="3"/>
        <v xml:space="preserve"> </v>
      </c>
      <c r="K7" s="6" t="str">
        <f>IF(I7=0,"-",VALUE(LEFT(D7,LEN(D7)-(INDEX!$C$14-3))))</f>
        <v>-</v>
      </c>
      <c r="L7" s="8" t="str">
        <f>IF(I7=0,"-",VLOOKUP(K7,ucty_synt!A:B,2,0))</f>
        <v>-</v>
      </c>
      <c r="M7" s="29" t="str">
        <f>IF(S7="-","-",VLOOKUP(K7,ucty_synt!A:O,3,0))</f>
        <v>-</v>
      </c>
      <c r="N7" s="29" t="str">
        <f>IF(I7=0,"-",IF(M7="Rozvaha",VLOOKUP(S7,'řádky R'!A:M,6,0),IF(M7="Výsledovka",VLOOKUP(S7,'řádky V'!A:M,6,0),"-")))</f>
        <v>-</v>
      </c>
      <c r="O7" s="6" t="str">
        <f>IF(I7=0,"-",IF(COUNTIF(ucty_synt!A:A,K7)=0,"účet n/a",IF(VLOOKUP(K7,ucty_synt!A:O,4,0)=RIGHT($P$1,5),"podle AÚ",IF(VLOOKUP(K7,ucty_synt!A:O,4,0)=RIGHT($Q$1,5),"podle SÚ",IF(SUMIF(ucty_synt!A:A,K7,ucty_synt!E:E)&lt;&gt;0,SUMIF(ucty_synt!A:A,K7,ucty_synt!E:E),"doplnit")))))</f>
        <v>-</v>
      </c>
      <c r="P7" s="6" t="str">
        <f>IF(I7=0,"-",IF(VLOOKUP(K7,ucty_synt!A:O,4,0)=RIGHT($P$1,5),IF(SUMIFS(I:I,C:C,C7,D:D,D7)&gt;=0,SUMIF(ucty_synt!A:A,K7,ucty_synt!E:E),SUMIF(ucty_synt!A:A,K7,ucty_synt!J:J)),"-"))</f>
        <v>-</v>
      </c>
      <c r="Q7" s="6" t="str">
        <f>IF(I7=0,"-",IF(VLOOKUP(K7,ucty_synt!A:O,4,0)=RIGHT($Q$1,5),IF(SUMIFS(I:I,C:C,C7,K:K,K7)&gt;=0,SUMIF(ucty_synt!A:A,K7,ucty_synt!E:E),SUMIF(ucty_synt!A:A,K7,ucty_synt!J:J)),"-"))</f>
        <v>-</v>
      </c>
      <c r="S7" s="11" t="str">
        <f t="shared" si="4"/>
        <v>-</v>
      </c>
      <c r="T7" s="29" t="str">
        <f>IF(S7="-","-",IF(M7="Rozvaha",VLOOKUP(S7,'řádky R'!A:M,12,0),IF(M7="Výsledovka",VLOOKUP(S7,'řádky V'!A:M,12,0),"-")))</f>
        <v>-</v>
      </c>
      <c r="U7" s="43" t="str">
        <f>IF(I7=0,"-",IF(M7="Rozvaha",VLOOKUP(S7,'řádky R'!A:M,8,0),IF(M7="Výsledovka",VLOOKUP(S7,'řádky V'!A:M,8,0),"-")))</f>
        <v>-</v>
      </c>
      <c r="V7" s="43" t="str">
        <f>IF(I7=0,"-",IF(M7="Rozvaha",VLOOKUP(S7,'řádky R'!A:M,9,0),IF(M7="Výsledovka",VLOOKUP(S7,'řádky V'!A:M,9,0),"-")))</f>
        <v>-</v>
      </c>
      <c r="W7" s="256" t="str">
        <f>IF(I7=0,"-",IF(M7="Rozvaha",VLOOKUP(S7,'řádky R'!A:M,11,0),IF(M7="Výsledovka",VLOOKUP(S7,'řádky V'!A:M,11,0),"-")))</f>
        <v>-</v>
      </c>
      <c r="X7" s="8" t="str">
        <f>IF(I7=0,"-",VLOOKUP(K7,ucty_synt!A:O,15,0))</f>
        <v>-</v>
      </c>
      <c r="Y7" s="9">
        <f t="shared" si="5"/>
        <v>0</v>
      </c>
    </row>
    <row r="8" spans="2:25" ht="11.25" customHeight="1" x14ac:dyDescent="0.2">
      <c r="B8" s="109"/>
      <c r="C8" s="110"/>
      <c r="D8" s="111"/>
      <c r="E8" s="111"/>
      <c r="F8" s="112"/>
      <c r="G8" s="112"/>
      <c r="H8" s="112"/>
      <c r="I8" s="113"/>
      <c r="J8" s="29" t="str">
        <f t="shared" si="3"/>
        <v xml:space="preserve"> </v>
      </c>
      <c r="K8" s="6" t="str">
        <f>IF(I8=0,"-",VALUE(LEFT(D8,LEN(D8)-(INDEX!$C$14-3))))</f>
        <v>-</v>
      </c>
      <c r="L8" s="8" t="str">
        <f>IF(I8=0,"-",VLOOKUP(K8,ucty_synt!A:B,2,0))</f>
        <v>-</v>
      </c>
      <c r="M8" s="29" t="str">
        <f>IF(S8="-","-",VLOOKUP(K8,ucty_synt!A:O,3,0))</f>
        <v>-</v>
      </c>
      <c r="N8" s="29" t="str">
        <f>IF(I8=0,"-",IF(M8="Rozvaha",VLOOKUP(S8,'řádky R'!A:M,6,0),IF(M8="Výsledovka",VLOOKUP(S8,'řádky V'!A:M,6,0),"-")))</f>
        <v>-</v>
      </c>
      <c r="O8" s="6" t="str">
        <f>IF(I8=0,"-",IF(COUNTIF(ucty_synt!A:A,K8)=0,"účet n/a",IF(VLOOKUP(K8,ucty_synt!A:O,4,0)=RIGHT($P$1,5),"podle AÚ",IF(VLOOKUP(K8,ucty_synt!A:O,4,0)=RIGHT($Q$1,5),"podle SÚ",IF(SUMIF(ucty_synt!A:A,K8,ucty_synt!E:E)&lt;&gt;0,SUMIF(ucty_synt!A:A,K8,ucty_synt!E:E),"doplnit")))))</f>
        <v>-</v>
      </c>
      <c r="P8" s="6" t="str">
        <f>IF(I8=0,"-",IF(VLOOKUP(K8,ucty_synt!A:O,4,0)=RIGHT($P$1,5),IF(SUMIFS(I:I,C:C,C8,D:D,D8)&gt;=0,SUMIF(ucty_synt!A:A,K8,ucty_synt!E:E),SUMIF(ucty_synt!A:A,K8,ucty_synt!J:J)),"-"))</f>
        <v>-</v>
      </c>
      <c r="Q8" s="6" t="str">
        <f>IF(I8=0,"-",IF(VLOOKUP(K8,ucty_synt!A:O,4,0)=RIGHT($Q$1,5),IF(SUMIFS(I:I,C:C,C8,K:K,K8)&gt;=0,SUMIF(ucty_synt!A:A,K8,ucty_synt!E:E),SUMIF(ucty_synt!A:A,K8,ucty_synt!J:J)),"-"))</f>
        <v>-</v>
      </c>
      <c r="S8" s="11" t="str">
        <f t="shared" si="4"/>
        <v>-</v>
      </c>
      <c r="T8" s="29" t="str">
        <f>IF(S8="-","-",IF(M8="Rozvaha",VLOOKUP(S8,'řádky R'!A:M,12,0),IF(M8="Výsledovka",VLOOKUP(S8,'řádky V'!A:M,12,0),"-")))</f>
        <v>-</v>
      </c>
      <c r="U8" s="43" t="str">
        <f>IF(I8=0,"-",IF(M8="Rozvaha",VLOOKUP(S8,'řádky R'!A:M,8,0),IF(M8="Výsledovka",VLOOKUP(S8,'řádky V'!A:M,8,0),"-")))</f>
        <v>-</v>
      </c>
      <c r="V8" s="43" t="str">
        <f>IF(I8=0,"-",IF(M8="Rozvaha",VLOOKUP(S8,'řádky R'!A:M,9,0),IF(M8="Výsledovka",VLOOKUP(S8,'řádky V'!A:M,9,0),"-")))</f>
        <v>-</v>
      </c>
      <c r="W8" s="256" t="str">
        <f>IF(I8=0,"-",IF(M8="Rozvaha",VLOOKUP(S8,'řádky R'!A:M,11,0),IF(M8="Výsledovka",VLOOKUP(S8,'řádky V'!A:M,11,0),"-")))</f>
        <v>-</v>
      </c>
      <c r="X8" s="8" t="str">
        <f>IF(I8=0,"-",VLOOKUP(K8,ucty_synt!A:O,15,0))</f>
        <v>-</v>
      </c>
      <c r="Y8" s="9">
        <f t="shared" si="5"/>
        <v>0</v>
      </c>
    </row>
    <row r="9" spans="2:25" ht="11.25" customHeight="1" x14ac:dyDescent="0.2">
      <c r="B9" s="109"/>
      <c r="C9" s="110"/>
      <c r="D9" s="111"/>
      <c r="E9" s="111"/>
      <c r="F9" s="112"/>
      <c r="G9" s="112"/>
      <c r="H9" s="112"/>
      <c r="I9" s="113"/>
      <c r="J9" s="29" t="str">
        <f t="shared" si="3"/>
        <v xml:space="preserve"> </v>
      </c>
      <c r="K9" s="6" t="str">
        <f>IF(I9=0,"-",VALUE(LEFT(D9,LEN(D9)-(INDEX!$C$14-3))))</f>
        <v>-</v>
      </c>
      <c r="L9" s="8" t="str">
        <f>IF(I9=0,"-",VLOOKUP(K9,ucty_synt!A:B,2,0))</f>
        <v>-</v>
      </c>
      <c r="M9" s="29" t="str">
        <f>IF(S9="-","-",VLOOKUP(K9,ucty_synt!A:O,3,0))</f>
        <v>-</v>
      </c>
      <c r="N9" s="29" t="str">
        <f>IF(I9=0,"-",IF(M9="Rozvaha",VLOOKUP(S9,'řádky R'!A:M,6,0),IF(M9="Výsledovka",VLOOKUP(S9,'řádky V'!A:M,6,0),"-")))</f>
        <v>-</v>
      </c>
      <c r="O9" s="6" t="str">
        <f>IF(I9=0,"-",IF(COUNTIF(ucty_synt!A:A,K9)=0,"účet n/a",IF(VLOOKUP(K9,ucty_synt!A:O,4,0)=RIGHT($P$1,5),"podle AÚ",IF(VLOOKUP(K9,ucty_synt!A:O,4,0)=RIGHT($Q$1,5),"podle SÚ",IF(SUMIF(ucty_synt!A:A,K9,ucty_synt!E:E)&lt;&gt;0,SUMIF(ucty_synt!A:A,K9,ucty_synt!E:E),"doplnit")))))</f>
        <v>-</v>
      </c>
      <c r="P9" s="6" t="str">
        <f>IF(I9=0,"-",IF(VLOOKUP(K9,ucty_synt!A:O,4,0)=RIGHT($P$1,5),IF(SUMIFS(I:I,C:C,C9,D:D,D9)&gt;=0,SUMIF(ucty_synt!A:A,K9,ucty_synt!E:E),SUMIF(ucty_synt!A:A,K9,ucty_synt!J:J)),"-"))</f>
        <v>-</v>
      </c>
      <c r="Q9" s="6" t="str">
        <f>IF(I9=0,"-",IF(VLOOKUP(K9,ucty_synt!A:O,4,0)=RIGHT($Q$1,5),IF(SUMIFS(I:I,C:C,C9,K:K,K9)&gt;=0,SUMIF(ucty_synt!A:A,K9,ucty_synt!E:E),SUMIF(ucty_synt!A:A,K9,ucty_synt!J:J)),"-"))</f>
        <v>-</v>
      </c>
      <c r="S9" s="11" t="str">
        <f t="shared" si="4"/>
        <v>-</v>
      </c>
      <c r="T9" s="29" t="str">
        <f>IF(S9="-","-",IF(M9="Rozvaha",VLOOKUP(S9,'řádky R'!A:M,12,0),IF(M9="Výsledovka",VLOOKUP(S9,'řádky V'!A:M,12,0),"-")))</f>
        <v>-</v>
      </c>
      <c r="U9" s="43" t="str">
        <f>IF(I9=0,"-",IF(M9="Rozvaha",VLOOKUP(S9,'řádky R'!A:M,8,0),IF(M9="Výsledovka",VLOOKUP(S9,'řádky V'!A:M,8,0),"-")))</f>
        <v>-</v>
      </c>
      <c r="V9" s="43" t="str">
        <f>IF(I9=0,"-",IF(M9="Rozvaha",VLOOKUP(S9,'řádky R'!A:M,9,0),IF(M9="Výsledovka",VLOOKUP(S9,'řádky V'!A:M,9,0),"-")))</f>
        <v>-</v>
      </c>
      <c r="W9" s="256" t="str">
        <f>IF(I9=0,"-",IF(M9="Rozvaha",VLOOKUP(S9,'řádky R'!A:M,11,0),IF(M9="Výsledovka",VLOOKUP(S9,'řádky V'!A:M,11,0),"-")))</f>
        <v>-</v>
      </c>
      <c r="X9" s="8" t="str">
        <f>IF(I9=0,"-",VLOOKUP(K9,ucty_synt!A:O,15,0))</f>
        <v>-</v>
      </c>
      <c r="Y9" s="9">
        <f t="shared" si="5"/>
        <v>0</v>
      </c>
    </row>
    <row r="10" spans="2:25" ht="11.25" customHeight="1" x14ac:dyDescent="0.2">
      <c r="B10" s="109"/>
      <c r="C10" s="110"/>
      <c r="D10" s="111"/>
      <c r="E10" s="111"/>
      <c r="F10" s="112"/>
      <c r="G10" s="112"/>
      <c r="H10" s="112"/>
      <c r="I10" s="113"/>
      <c r="J10" s="29" t="str">
        <f t="shared" si="3"/>
        <v xml:space="preserve"> </v>
      </c>
      <c r="K10" s="6" t="str">
        <f>IF(I10=0,"-",VALUE(LEFT(D10,LEN(D10)-(INDEX!$C$14-3))))</f>
        <v>-</v>
      </c>
      <c r="L10" s="8" t="str">
        <f>IF(I10=0,"-",VLOOKUP(K10,ucty_synt!A:B,2,0))</f>
        <v>-</v>
      </c>
      <c r="M10" s="29" t="str">
        <f>IF(S10="-","-",VLOOKUP(K10,ucty_synt!A:O,3,0))</f>
        <v>-</v>
      </c>
      <c r="N10" s="29" t="str">
        <f>IF(I10=0,"-",IF(M10="Rozvaha",VLOOKUP(S10,'řádky R'!A:M,6,0),IF(M10="Výsledovka",VLOOKUP(S10,'řádky V'!A:M,6,0),"-")))</f>
        <v>-</v>
      </c>
      <c r="O10" s="6" t="str">
        <f>IF(I10=0,"-",IF(COUNTIF(ucty_synt!A:A,K10)=0,"účet n/a",IF(VLOOKUP(K10,ucty_synt!A:O,4,0)=RIGHT($P$1,5),"podle AÚ",IF(VLOOKUP(K10,ucty_synt!A:O,4,0)=RIGHT($Q$1,5),"podle SÚ",IF(SUMIF(ucty_synt!A:A,K10,ucty_synt!E:E)&lt;&gt;0,SUMIF(ucty_synt!A:A,K10,ucty_synt!E:E),"doplnit")))))</f>
        <v>-</v>
      </c>
      <c r="P10" s="6" t="str">
        <f>IF(I10=0,"-",IF(VLOOKUP(K10,ucty_synt!A:O,4,0)=RIGHT($P$1,5),IF(SUMIFS(I:I,C:C,C10,D:D,D10)&gt;=0,SUMIF(ucty_synt!A:A,K10,ucty_synt!E:E),SUMIF(ucty_synt!A:A,K10,ucty_synt!J:J)),"-"))</f>
        <v>-</v>
      </c>
      <c r="Q10" s="6" t="str">
        <f>IF(I10=0,"-",IF(VLOOKUP(K10,ucty_synt!A:O,4,0)=RIGHT($Q$1,5),IF(SUMIFS(I:I,C:C,C10,K:K,K10)&gt;=0,SUMIF(ucty_synt!A:A,K10,ucty_synt!E:E),SUMIF(ucty_synt!A:A,K10,ucty_synt!J:J)),"-"))</f>
        <v>-</v>
      </c>
      <c r="S10" s="11" t="str">
        <f t="shared" si="4"/>
        <v>-</v>
      </c>
      <c r="T10" s="29" t="str">
        <f>IF(S10="-","-",IF(M10="Rozvaha",VLOOKUP(S10,'řádky R'!A:M,12,0),IF(M10="Výsledovka",VLOOKUP(S10,'řádky V'!A:M,12,0),"-")))</f>
        <v>-</v>
      </c>
      <c r="U10" s="43" t="str">
        <f>IF(I10=0,"-",IF(M10="Rozvaha",VLOOKUP(S10,'řádky R'!A:M,8,0),IF(M10="Výsledovka",VLOOKUP(S10,'řádky V'!A:M,8,0),"-")))</f>
        <v>-</v>
      </c>
      <c r="V10" s="43" t="str">
        <f>IF(I10=0,"-",IF(M10="Rozvaha",VLOOKUP(S10,'řádky R'!A:M,9,0),IF(M10="Výsledovka",VLOOKUP(S10,'řádky V'!A:M,9,0),"-")))</f>
        <v>-</v>
      </c>
      <c r="W10" s="256" t="str">
        <f>IF(I10=0,"-",IF(M10="Rozvaha",VLOOKUP(S10,'řádky R'!A:M,11,0),IF(M10="Výsledovka",VLOOKUP(S10,'řádky V'!A:M,11,0),"-")))</f>
        <v>-</v>
      </c>
      <c r="X10" s="8" t="str">
        <f>IF(I10=0,"-",VLOOKUP(K10,ucty_synt!A:O,15,0))</f>
        <v>-</v>
      </c>
      <c r="Y10" s="9">
        <f t="shared" si="5"/>
        <v>0</v>
      </c>
    </row>
    <row r="11" spans="2:25" ht="11.25" customHeight="1" x14ac:dyDescent="0.2">
      <c r="B11" s="109"/>
      <c r="C11" s="110"/>
      <c r="D11" s="111"/>
      <c r="E11" s="111"/>
      <c r="F11" s="112"/>
      <c r="G11" s="112"/>
      <c r="H11" s="112"/>
      <c r="I11" s="113"/>
      <c r="J11" s="29" t="str">
        <f t="shared" ref="J11:J12" si="6">CONCATENATE(D11," ",E11)</f>
        <v xml:space="preserve"> </v>
      </c>
      <c r="K11" s="6" t="str">
        <f>IF(I11=0,"-",VALUE(LEFT(D11,LEN(D11)-(INDEX!$C$14-3))))</f>
        <v>-</v>
      </c>
      <c r="L11" s="8" t="str">
        <f>IF(I11=0,"-",VLOOKUP(K11,ucty_synt!A:B,2,0))</f>
        <v>-</v>
      </c>
      <c r="M11" s="29" t="str">
        <f>IF(S11="-","-",VLOOKUP(K11,ucty_synt!A:O,3,0))</f>
        <v>-</v>
      </c>
      <c r="N11" s="29" t="str">
        <f>IF(I11=0,"-",IF(M11="Rozvaha",VLOOKUP(S11,'řádky R'!A:M,6,0),IF(M11="Výsledovka",VLOOKUP(S11,'řádky V'!A:M,6,0),"-")))</f>
        <v>-</v>
      </c>
      <c r="O11" s="6" t="str">
        <f>IF(I11=0,"-",IF(COUNTIF(ucty_synt!A:A,K11)=0,"účet n/a",IF(VLOOKUP(K11,ucty_synt!A:O,4,0)=RIGHT($P$1,5),"podle AÚ",IF(VLOOKUP(K11,ucty_synt!A:O,4,0)=RIGHT($Q$1,5),"podle SÚ",IF(SUMIF(ucty_synt!A:A,K11,ucty_synt!E:E)&lt;&gt;0,SUMIF(ucty_synt!A:A,K11,ucty_synt!E:E),"doplnit")))))</f>
        <v>-</v>
      </c>
      <c r="P11" s="6" t="str">
        <f>IF(I11=0,"-",IF(VLOOKUP(K11,ucty_synt!A:O,4,0)=RIGHT($P$1,5),IF(SUMIFS(I:I,C:C,C11,D:D,D11)&gt;=0,SUMIF(ucty_synt!A:A,K11,ucty_synt!E:E),SUMIF(ucty_synt!A:A,K11,ucty_synt!J:J)),"-"))</f>
        <v>-</v>
      </c>
      <c r="Q11" s="6" t="str">
        <f>IF(I11=0,"-",IF(VLOOKUP(K11,ucty_synt!A:O,4,0)=RIGHT($Q$1,5),IF(SUMIFS(I:I,C:C,C11,K:K,K11)&gt;=0,SUMIF(ucty_synt!A:A,K11,ucty_synt!E:E),SUMIF(ucty_synt!A:A,K11,ucty_synt!J:J)),"-"))</f>
        <v>-</v>
      </c>
      <c r="S11" s="11" t="str">
        <f t="shared" si="1"/>
        <v>-</v>
      </c>
      <c r="T11" s="29" t="str">
        <f>IF(S11="-","-",IF(M11="Rozvaha",VLOOKUP(S11,'řádky R'!A:M,12,0),IF(M11="Výsledovka",VLOOKUP(S11,'řádky V'!A:M,12,0),"-")))</f>
        <v>-</v>
      </c>
      <c r="U11" s="43" t="str">
        <f>IF(I11=0,"-",IF(M11="Rozvaha",VLOOKUP(S11,'řádky R'!A:M,8,0),IF(M11="Výsledovka",VLOOKUP(S11,'řádky V'!A:M,8,0),"-")))</f>
        <v>-</v>
      </c>
      <c r="V11" s="43" t="str">
        <f>IF(I11=0,"-",IF(M11="Rozvaha",VLOOKUP(S11,'řádky R'!A:M,9,0),IF(M11="Výsledovka",VLOOKUP(S11,'řádky V'!A:M,9,0),"-")))</f>
        <v>-</v>
      </c>
      <c r="W11" s="256" t="str">
        <f>IF(I11=0,"-",IF(M11="Rozvaha",VLOOKUP(S11,'řádky R'!A:M,11,0),IF(M11="Výsledovka",VLOOKUP(S11,'řádky V'!A:M,11,0),"-")))</f>
        <v>-</v>
      </c>
      <c r="X11" s="8" t="str">
        <f>IF(I11=0,"-",VLOOKUP(K11,ucty_synt!A:O,15,0))</f>
        <v>-</v>
      </c>
      <c r="Y11" s="9">
        <f t="shared" ref="Y11:Y12" si="7">I11/zaokr</f>
        <v>0</v>
      </c>
    </row>
    <row r="12" spans="2:25" ht="11.25" customHeight="1" x14ac:dyDescent="0.2">
      <c r="B12" s="109"/>
      <c r="C12" s="110"/>
      <c r="D12" s="111"/>
      <c r="E12" s="111"/>
      <c r="F12" s="112"/>
      <c r="G12" s="112"/>
      <c r="H12" s="112"/>
      <c r="I12" s="113"/>
      <c r="J12" s="29" t="str">
        <f t="shared" si="6"/>
        <v xml:space="preserve"> </v>
      </c>
      <c r="K12" s="6" t="str">
        <f>IF(I12=0,"-",VALUE(LEFT(D12,LEN(D12)-(INDEX!$C$14-3))))</f>
        <v>-</v>
      </c>
      <c r="L12" s="8" t="str">
        <f>IF(I12=0,"-",VLOOKUP(K12,ucty_synt!A:B,2,0))</f>
        <v>-</v>
      </c>
      <c r="M12" s="29" t="str">
        <f>IF(S12="-","-",VLOOKUP(K12,ucty_synt!A:O,3,0))</f>
        <v>-</v>
      </c>
      <c r="N12" s="29" t="str">
        <f>IF(I12=0,"-",IF(M12="Rozvaha",VLOOKUP(S12,'řádky R'!A:M,6,0),IF(M12="Výsledovka",VLOOKUP(S12,'řádky V'!A:M,6,0),"-")))</f>
        <v>-</v>
      </c>
      <c r="O12" s="6" t="str">
        <f>IF(I12=0,"-",IF(COUNTIF(ucty_synt!A:A,K12)=0,"účet n/a",IF(VLOOKUP(K12,ucty_synt!A:O,4,0)=RIGHT($P$1,5),"podle AÚ",IF(VLOOKUP(K12,ucty_synt!A:O,4,0)=RIGHT($Q$1,5),"podle SÚ",IF(SUMIF(ucty_synt!A:A,K12,ucty_synt!E:E)&lt;&gt;0,SUMIF(ucty_synt!A:A,K12,ucty_synt!E:E),"doplnit")))))</f>
        <v>-</v>
      </c>
      <c r="P12" s="6" t="str">
        <f>IF(I12=0,"-",IF(VLOOKUP(K12,ucty_synt!A:O,4,0)=RIGHT($P$1,5),IF(SUMIFS(I:I,C:C,C12,D:D,D12)&gt;=0,SUMIF(ucty_synt!A:A,K12,ucty_synt!E:E),SUMIF(ucty_synt!A:A,K12,ucty_synt!J:J)),"-"))</f>
        <v>-</v>
      </c>
      <c r="Q12" s="6" t="str">
        <f>IF(I12=0,"-",IF(VLOOKUP(K12,ucty_synt!A:O,4,0)=RIGHT($Q$1,5),IF(SUMIFS(I:I,C:C,C12,K:K,K12)&gt;=0,SUMIF(ucty_synt!A:A,K12,ucty_synt!E:E),SUMIF(ucty_synt!A:A,K12,ucty_synt!J:J)),"-"))</f>
        <v>-</v>
      </c>
      <c r="S12" s="11" t="str">
        <f t="shared" si="1"/>
        <v>-</v>
      </c>
      <c r="T12" s="29" t="str">
        <f>IF(S12="-","-",IF(M12="Rozvaha",VLOOKUP(S12,'řádky R'!A:M,12,0),IF(M12="Výsledovka",VLOOKUP(S12,'řádky V'!A:M,12,0),"-")))</f>
        <v>-</v>
      </c>
      <c r="U12" s="43" t="str">
        <f>IF(I12=0,"-",IF(M12="Rozvaha",VLOOKUP(S12,'řádky R'!A:M,8,0),IF(M12="Výsledovka",VLOOKUP(S12,'řádky V'!A:M,8,0),"-")))</f>
        <v>-</v>
      </c>
      <c r="V12" s="43" t="str">
        <f>IF(I12=0,"-",IF(M12="Rozvaha",VLOOKUP(S12,'řádky R'!A:M,9,0),IF(M12="Výsledovka",VLOOKUP(S12,'řádky V'!A:M,9,0),"-")))</f>
        <v>-</v>
      </c>
      <c r="W12" s="256" t="str">
        <f>IF(I12=0,"-",IF(M12="Rozvaha",VLOOKUP(S12,'řádky R'!A:M,11,0),IF(M12="Výsledovka",VLOOKUP(S12,'řádky V'!A:M,11,0),"-")))</f>
        <v>-</v>
      </c>
      <c r="X12" s="8" t="str">
        <f>IF(I12=0,"-",VLOOKUP(K12,ucty_synt!A:O,15,0))</f>
        <v>-</v>
      </c>
      <c r="Y12" s="9">
        <f t="shared" si="7"/>
        <v>0</v>
      </c>
    </row>
  </sheetData>
  <sheetProtection formatCells="0" formatColumns="0" formatRows="0" insertRows="0" sort="0" autoFilter="0"/>
  <conditionalFormatting sqref="R1:R1048576">
    <cfRule type="expression" dxfId="97" priority="1" stopIfTrue="1">
      <formula>O1="účet n/a"</formula>
    </cfRule>
    <cfRule type="expression" dxfId="96" priority="2">
      <formula>AND(O1="doplnit",ISBLANK(R1))</formula>
    </cfRule>
    <cfRule type="cellIs" dxfId="95" priority="3" operator="notEqual">
      <formula>0</formula>
    </cfRule>
  </conditionalFormatting>
  <pageMargins left="0.39370078740157483" right="0.39370078740157483" top="0" bottom="0.39370078740157483" header="0" footer="0"/>
  <pageSetup paperSize="9" scale="90" fitToHeight="0" orientation="landscape" verticalDpi="300" r:id="rId1"/>
  <headerFooter scaleWithDoc="0" alignWithMargins="0">
    <oddFooter>&amp;L&amp;G&amp;C&amp;"-,Obyčejné"&amp;8&amp;K00-049Tisk: &amp;D &amp;T&amp;R&amp;"-,Obyčejné"&amp;8&amp;K00-049&amp;F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showRowColHeaders="0" showZeros="0" topLeftCell="F1" zoomScale="80" zoomScaleNormal="80" workbookViewId="0">
      <pane ySplit="7" topLeftCell="A8" activePane="bottomLeft" state="frozen"/>
      <selection activeCell="B2" sqref="B2"/>
      <selection pane="bottomLeft" activeCell="G5" sqref="G5:I5"/>
    </sheetView>
  </sheetViews>
  <sheetFormatPr defaultColWidth="0" defaultRowHeight="23.25" x14ac:dyDescent="0.2"/>
  <cols>
    <col min="1" max="1" width="2.85546875" style="48" hidden="1" customWidth="1"/>
    <col min="2" max="2" width="8" style="73" hidden="1" customWidth="1"/>
    <col min="3" max="5" width="2.85546875" style="51" hidden="1" customWidth="1"/>
    <col min="6" max="6" width="2.85546875" style="40" customWidth="1"/>
    <col min="7" max="9" width="2.85546875" style="323" customWidth="1"/>
    <col min="10" max="10" width="66.85546875" style="323" customWidth="1"/>
    <col min="11" max="11" width="6.42578125" style="323" customWidth="1"/>
    <col min="12" max="13" width="28.7109375" style="323" customWidth="1"/>
    <col min="14" max="14" width="2.7109375" style="17" customWidth="1"/>
    <col min="15" max="15" width="4.140625" style="14" bestFit="1" customWidth="1"/>
    <col min="16" max="16" width="4.42578125" style="14" bestFit="1" customWidth="1"/>
    <col min="17" max="16384" width="9.140625" style="14" hidden="1"/>
  </cols>
  <sheetData>
    <row r="1" spans="1:16" s="13" customFormat="1" ht="26.25" x14ac:dyDescent="0.4">
      <c r="A1" s="46"/>
      <c r="B1" s="71"/>
      <c r="C1" s="49"/>
      <c r="D1" s="49"/>
      <c r="E1" s="49"/>
      <c r="F1" s="38"/>
      <c r="G1" s="328" t="str">
        <f>IF(jazyk="česky","VÝKAZ ZISKU A ZTRÁTY",IF(jazyk="anglicky","INCOME STATEMENT classification by nature",IF(jazyk="německy","GEWINN- UND VERLUSTRECHNUNG   Gesamtkostenverfahren","-")))</f>
        <v>VÝKAZ ZISKU A ZTRÁTY</v>
      </c>
      <c r="H1" s="139"/>
      <c r="I1" s="139"/>
      <c r="J1" s="139"/>
      <c r="K1" s="140"/>
      <c r="L1" s="329"/>
      <c r="M1" s="330">
        <f>INDEX!C6</f>
        <v>0</v>
      </c>
      <c r="N1" s="12"/>
    </row>
    <row r="2" spans="1:16" s="16" customFormat="1" ht="15.75" x14ac:dyDescent="0.2">
      <c r="A2" s="47"/>
      <c r="B2" s="72"/>
      <c r="C2" s="50"/>
      <c r="D2" s="50"/>
      <c r="E2" s="50"/>
      <c r="F2" s="44"/>
      <c r="G2" s="141" t="str">
        <f>CONCATENATE(IF(jazyk="česky","ke dni",IF(jazyk="anglicky","as at",IF(jazyk="německy","zum","-"))),"   ",DAY(INDEX!C12),".",MONTH(INDEX!C12),".",YEAR(INDEX!C12))</f>
        <v>ke dni   0.1.1900</v>
      </c>
      <c r="H2" s="142"/>
      <c r="I2" s="142"/>
      <c r="J2" s="142"/>
      <c r="K2" s="143"/>
      <c r="L2" s="144"/>
      <c r="M2" s="145">
        <f>INDEX!C8</f>
        <v>0</v>
      </c>
      <c r="N2" s="15"/>
    </row>
    <row r="3" spans="1:16" s="16" customFormat="1" ht="15.75" x14ac:dyDescent="0.2">
      <c r="A3" s="47"/>
      <c r="B3" s="72"/>
      <c r="C3" s="50"/>
      <c r="D3" s="50"/>
      <c r="E3" s="50"/>
      <c r="F3" s="45"/>
      <c r="G3" s="146" t="str">
        <f>CONCATENATE("(",VLOOKUP(zaokr,INDEX!H17:I19,2,0),")")</f>
        <v>(v celých Kč)</v>
      </c>
      <c r="H3" s="144"/>
      <c r="I3" s="144"/>
      <c r="J3" s="144"/>
      <c r="K3" s="147"/>
      <c r="L3" s="148"/>
      <c r="M3" s="149">
        <f>INDEX!C4</f>
        <v>0</v>
      </c>
      <c r="N3" s="15"/>
    </row>
    <row r="4" spans="1:16" s="16" customFormat="1" ht="24" thickBot="1" x14ac:dyDescent="0.3">
      <c r="A4" s="47"/>
      <c r="B4" s="72"/>
      <c r="C4" s="50"/>
      <c r="D4" s="50"/>
      <c r="E4" s="50"/>
      <c r="F4" s="39"/>
      <c r="G4" s="379"/>
      <c r="H4" s="144"/>
      <c r="I4" s="144"/>
      <c r="J4" s="144"/>
      <c r="K4" s="150"/>
      <c r="L4" s="151"/>
      <c r="M4" s="144"/>
      <c r="N4" s="15"/>
    </row>
    <row r="5" spans="1:16" x14ac:dyDescent="0.25">
      <c r="G5" s="419" t="str">
        <f>IF(jazyk="česky","Označení",IF(jazyk="anglicky","Ident.",IF(jazyk="německy","Ident.","-")))</f>
        <v>Označení</v>
      </c>
      <c r="H5" s="420"/>
      <c r="I5" s="421"/>
      <c r="J5" s="152" t="str">
        <f>IF(jazyk="česky","TEXT",IF(jazyk="anglicky","Ident.",IF(jazyk="německy","Ident.","-")))</f>
        <v>TEXT</v>
      </c>
      <c r="K5" s="153" t="str">
        <f>IF(jazyk="česky","Číslo",IF(jazyk="anglicky"," ",IF(jazyk="německy"," ","-")))</f>
        <v>Číslo</v>
      </c>
      <c r="L5" s="425" t="str">
        <f>IF(jazyk="česky","Skutečnost v účetním období",IF(jazyk="anglicky","Accounting Period",IF(jazyk="německy"," ","-")))</f>
        <v>Skutečnost v účetním období</v>
      </c>
      <c r="M5" s="426"/>
      <c r="N5" s="14"/>
      <c r="O5" s="324">
        <f>-(ROUND(SUMIFS(DATA!$Y:$Y,DATA!$C:$C,INDEX!$C$12,DATA!$M:$M,"Výsledovka"),0)+'VÝKAZ ZZ'!L67)-SUM(O8:O68)</f>
        <v>0</v>
      </c>
      <c r="P5" s="324">
        <f>-(ROUND(SUMIFS(DATA!$Y:$Y,DATA!$C:$C,INDEX!$D$12,DATA!$M:$M,"Výsledovka"),0)+'VÝKAZ ZZ'!M67)-SUM(P8:P68)</f>
        <v>0</v>
      </c>
    </row>
    <row r="6" spans="1:16" ht="12.75" customHeight="1" x14ac:dyDescent="0.2">
      <c r="F6" s="52"/>
      <c r="G6" s="154"/>
      <c r="H6" s="155"/>
      <c r="I6" s="156"/>
      <c r="J6" s="157"/>
      <c r="K6" s="158" t="str">
        <f>IF(jazyk="česky","řádku",IF(jazyk="anglicky","Line",IF(jazyk="německy","Zeile","-")))</f>
        <v>řádku</v>
      </c>
      <c r="L6" s="159" t="str">
        <f>IF(jazyk="česky","běžném",IF(jazyk="anglicky","current",IF(jazyk="německy","Laufende periode","-")))</f>
        <v>běžném</v>
      </c>
      <c r="M6" s="160" t="str">
        <f>IF(jazyk="česky","minulém",IF(jazyk="anglicky","prior",IF(jazyk="německy","Vorjahr","-")))</f>
        <v>minulém</v>
      </c>
      <c r="N6" s="14"/>
      <c r="O6" s="325" t="s">
        <v>466</v>
      </c>
      <c r="P6" s="325" t="s">
        <v>467</v>
      </c>
    </row>
    <row r="7" spans="1:16" ht="13.5" customHeight="1" thickBot="1" x14ac:dyDescent="0.25">
      <c r="F7" s="52"/>
      <c r="G7" s="422" t="s">
        <v>294</v>
      </c>
      <c r="H7" s="423"/>
      <c r="I7" s="424"/>
      <c r="J7" s="161" t="s">
        <v>272</v>
      </c>
      <c r="K7" s="162" t="s">
        <v>273</v>
      </c>
      <c r="L7" s="163">
        <v>1</v>
      </c>
      <c r="M7" s="164">
        <v>2</v>
      </c>
      <c r="N7" s="14"/>
      <c r="O7" s="326">
        <f>-(ROUND(SUMIFS(DATA!$Y:$Y,DATA!$C:$C,INDEX!$C$12,DATA!$M:$M,"Výsledovka"),0)+'VÝKAZ ZZ'!L67)</f>
        <v>0</v>
      </c>
      <c r="P7" s="326">
        <f>-(ROUND(SUMIFS(DATA!$Y:$Y,DATA!$C:$C,INDEX!$D$12,DATA!$M:$M,"Výsledovka"),0)+'VÝKAZ ZZ'!M67)</f>
        <v>0</v>
      </c>
    </row>
    <row r="8" spans="1:16" ht="26.25" x14ac:dyDescent="0.2">
      <c r="A8" s="48">
        <v>-1</v>
      </c>
      <c r="B8" s="73" t="s">
        <v>806</v>
      </c>
      <c r="C8" s="51" t="str">
        <f>IF(G8&gt;0,G8,IF(H8&gt;0,H8,C7))</f>
        <v>I.</v>
      </c>
      <c r="D8" s="51">
        <v>3</v>
      </c>
      <c r="F8" s="69"/>
      <c r="G8" s="165"/>
      <c r="H8" s="166" t="s">
        <v>276</v>
      </c>
      <c r="I8" s="167"/>
      <c r="J8" s="168" t="str">
        <f>VLOOKUP(K8,'řádky V'!A:M,13,0)</f>
        <v xml:space="preserve">Tržby za prodej zboží </v>
      </c>
      <c r="K8" s="169">
        <v>1</v>
      </c>
      <c r="L8" s="170">
        <f>IF($D8=3,ROUND($A8*SUMIFS(DATA!$Y:$Y,DATA!$C:$C,INDEX!$C$12,DATA!$N:$N,$B8,DATA!$S:$S,$K8),0)+O8,IF($D8=2,SUMIFS(L:L,$D:$D,3,$C:$C,$C8),0))</f>
        <v>0</v>
      </c>
      <c r="M8" s="171">
        <f>IF($D8=3,ROUND($A8*SUMIFS(DATA!$Y:$Y,DATA!$C:$C,INDEX!$D$12,DATA!$N:$N,$B8,DATA!$S:$S,$K8),0)+P8,IF($D8=2,SUMIFS(M:M,$D:$D,3,$C:$C,$C8),0))</f>
        <v>0</v>
      </c>
      <c r="N8" s="14"/>
      <c r="O8" s="137"/>
      <c r="P8" s="137"/>
    </row>
    <row r="9" spans="1:16" ht="26.25" x14ac:dyDescent="0.2">
      <c r="A9" s="48">
        <v>1</v>
      </c>
      <c r="B9" s="73" t="s">
        <v>804</v>
      </c>
      <c r="C9" s="51" t="str">
        <f t="shared" ref="C9:C66" si="0">IF(G9&gt;0,G9,IF(H9&gt;0,H9,C8))</f>
        <v>A.</v>
      </c>
      <c r="D9" s="51">
        <v>3</v>
      </c>
      <c r="F9" s="69"/>
      <c r="G9" s="172" t="s">
        <v>274</v>
      </c>
      <c r="H9" s="173"/>
      <c r="I9" s="174" t="s">
        <v>306</v>
      </c>
      <c r="J9" s="175" t="str">
        <f>VLOOKUP(K9,'řádky V'!A:M,13,0)</f>
        <v>Náklady vynaložené na prodané zboží</v>
      </c>
      <c r="K9" s="176">
        <v>2</v>
      </c>
      <c r="L9" s="177">
        <f>IF($D9=3,ROUND($A9*SUMIFS(DATA!$Y:$Y,DATA!$C:$C,INDEX!$C$12,DATA!$N:$N,$B9,DATA!$S:$S,$K9),0)+O9,IF($D9=2,SUMIFS(L:L,$D:$D,3,$C:$C,$C9),0))</f>
        <v>0</v>
      </c>
      <c r="M9" s="178">
        <f>IF($D9=3,ROUND($A9*SUMIFS(DATA!$Y:$Y,DATA!$C:$C,INDEX!$D$12,DATA!$N:$N,$B9,DATA!$S:$S,$K9),0)+P9,IF($D9=2,SUMIFS(M:M,$D:$D,3,$C:$C,$C9),0))</f>
        <v>0</v>
      </c>
      <c r="N9" s="14"/>
      <c r="O9" s="137"/>
      <c r="P9" s="137"/>
    </row>
    <row r="10" spans="1:16" ht="26.25" customHeight="1" thickBot="1" x14ac:dyDescent="0.25">
      <c r="B10" s="73" t="s">
        <v>399</v>
      </c>
      <c r="C10" s="51" t="str">
        <f t="shared" si="0"/>
        <v>+</v>
      </c>
      <c r="F10" s="69"/>
      <c r="G10" s="395"/>
      <c r="H10" s="396" t="s">
        <v>399</v>
      </c>
      <c r="I10" s="397"/>
      <c r="J10" s="179" t="str">
        <f>VLOOKUP(K10,'řádky V'!A:M,13,0)</f>
        <v>Obchodní marže  (ř. 01 - 02)</v>
      </c>
      <c r="K10" s="398">
        <v>3</v>
      </c>
      <c r="L10" s="180">
        <f>L8-L9</f>
        <v>0</v>
      </c>
      <c r="M10" s="181">
        <f>M8-M9</f>
        <v>0</v>
      </c>
      <c r="N10" s="14"/>
    </row>
    <row r="11" spans="1:16" ht="26.25" x14ac:dyDescent="0.2">
      <c r="B11" s="73" t="s">
        <v>806</v>
      </c>
      <c r="C11" s="51" t="str">
        <f t="shared" si="0"/>
        <v>II.</v>
      </c>
      <c r="D11" s="51">
        <v>2</v>
      </c>
      <c r="F11" s="69"/>
      <c r="G11" s="394" t="s">
        <v>286</v>
      </c>
      <c r="H11" s="182" t="s">
        <v>286</v>
      </c>
      <c r="I11" s="183"/>
      <c r="J11" s="184" t="str">
        <f>VLOOKUP(K11,'řádky V'!A:M,13,0)</f>
        <v>Výkony  (ř. 05 + 06 + 07)</v>
      </c>
      <c r="K11" s="185">
        <v>4</v>
      </c>
      <c r="L11" s="186">
        <f>IF($D11=3,ROUND($A11*SUMIFS(DATA!$Y:$Y,DATA!$C:$C,INDEX!$C$12,DATA!$N:$N,$B11,DATA!$S:$S,$K11),0)+O11,IF($D11=2,SUMIFS(L:L,$D:$D,3,$C:$C,$C11),0))</f>
        <v>0</v>
      </c>
      <c r="M11" s="187">
        <f>IF($D11=3,ROUND($A11*SUMIFS(DATA!$Y:$Y,DATA!$C:$C,INDEX!$D$12,DATA!$N:$N,$B11,DATA!$S:$S,$K11),0)+P11,IF($D11=2,SUMIFS(M:M,$D:$D,3,$C:$C,$C11),0))</f>
        <v>0</v>
      </c>
      <c r="N11" s="14"/>
    </row>
    <row r="12" spans="1:16" ht="26.25" x14ac:dyDescent="0.2">
      <c r="A12" s="48">
        <v>-1</v>
      </c>
      <c r="B12" s="73" t="s">
        <v>806</v>
      </c>
      <c r="C12" s="51" t="str">
        <f t="shared" si="0"/>
        <v>II.</v>
      </c>
      <c r="D12" s="51">
        <v>3</v>
      </c>
      <c r="F12" s="69"/>
      <c r="G12" s="188"/>
      <c r="H12" s="189" t="s">
        <v>286</v>
      </c>
      <c r="I12" s="189" t="s">
        <v>277</v>
      </c>
      <c r="J12" s="190" t="str">
        <f>VLOOKUP(K12,'řádky V'!A:M,13,0)</f>
        <v>Tržby za prodej vlastních výrobků a služeb</v>
      </c>
      <c r="K12" s="191">
        <v>5</v>
      </c>
      <c r="L12" s="192">
        <f>IF($D12=3,ROUND($A12*SUMIFS(DATA!$Y:$Y,DATA!$C:$C,INDEX!$C$12,DATA!$N:$N,$B12,DATA!$S:$S,$K12),0)+O12,IF($D12=2,SUMIFS(L:L,$D:$D,3,$C:$C,$C12),0))</f>
        <v>0</v>
      </c>
      <c r="M12" s="193">
        <f>IF($D12=3,ROUND($A12*SUMIFS(DATA!$Y:$Y,DATA!$C:$C,INDEX!$D$12,DATA!$N:$N,$B12,DATA!$S:$S,$K12),0)+P12,IF($D12=2,SUMIFS(M:M,$D:$D,3,$C:$C,$C12),0))</f>
        <v>0</v>
      </c>
      <c r="N12" s="14"/>
      <c r="O12" s="137"/>
      <c r="P12" s="137"/>
    </row>
    <row r="13" spans="1:16" ht="26.25" x14ac:dyDescent="0.2">
      <c r="A13" s="48">
        <v>-1</v>
      </c>
      <c r="B13" s="73" t="s">
        <v>806</v>
      </c>
      <c r="C13" s="51" t="str">
        <f t="shared" si="0"/>
        <v>II.</v>
      </c>
      <c r="D13" s="51">
        <v>3</v>
      </c>
      <c r="F13" s="69"/>
      <c r="G13" s="188"/>
      <c r="H13" s="194" t="s">
        <v>286</v>
      </c>
      <c r="I13" s="189" t="s">
        <v>278</v>
      </c>
      <c r="J13" s="190" t="str">
        <f>VLOOKUP(K13,'řádky V'!A:M,13,0)</f>
        <v>Změna stavu zásob vlastní činnosti</v>
      </c>
      <c r="K13" s="191">
        <v>6</v>
      </c>
      <c r="L13" s="192">
        <f>IF($D13=3,ROUND($A13*SUMIFS(DATA!$Y:$Y,DATA!$C:$C,INDEX!$C$12,DATA!$N:$N,$B13,DATA!$S:$S,$K13),0)+O13,IF($D13=2,SUMIFS(L:L,$D:$D,3,$C:$C,$C13),0))</f>
        <v>0</v>
      </c>
      <c r="M13" s="193">
        <f>IF($D13=3,ROUND($A13*SUMIFS(DATA!$Y:$Y,DATA!$C:$C,INDEX!$D$12,DATA!$N:$N,$B13,DATA!$S:$S,$K13),0)+P13,IF($D13=2,SUMIFS(M:M,$D:$D,3,$C:$C,$C13),0))</f>
        <v>0</v>
      </c>
      <c r="N13" s="14"/>
      <c r="O13" s="137"/>
      <c r="P13" s="137"/>
    </row>
    <row r="14" spans="1:16" ht="26.25" x14ac:dyDescent="0.2">
      <c r="A14" s="48">
        <v>-1</v>
      </c>
      <c r="B14" s="73" t="s">
        <v>806</v>
      </c>
      <c r="C14" s="51" t="str">
        <f t="shared" si="0"/>
        <v>II.</v>
      </c>
      <c r="D14" s="51">
        <v>3</v>
      </c>
      <c r="F14" s="69"/>
      <c r="G14" s="188"/>
      <c r="H14" s="194" t="s">
        <v>286</v>
      </c>
      <c r="I14" s="189" t="s">
        <v>279</v>
      </c>
      <c r="J14" s="195" t="str">
        <f>VLOOKUP(K14,'řádky V'!A:M,13,0)</f>
        <v>Aktivace</v>
      </c>
      <c r="K14" s="196">
        <v>7</v>
      </c>
      <c r="L14" s="197">
        <f>IF($D14=3,ROUND($A14*SUMIFS(DATA!$Y:$Y,DATA!$C:$C,INDEX!$C$12,DATA!$N:$N,$B14,DATA!$S:$S,$K14),0)+O14,IF($D14=2,SUMIFS(L:L,$D:$D,3,$C:$C,$C14),0))</f>
        <v>0</v>
      </c>
      <c r="M14" s="198">
        <f>IF($D14=3,ROUND($A14*SUMIFS(DATA!$Y:$Y,DATA!$C:$C,INDEX!$D$12,DATA!$N:$N,$B14,DATA!$S:$S,$K14),0)+P14,IF($D14=2,SUMIFS(M:M,$D:$D,3,$C:$C,$C14),0))</f>
        <v>0</v>
      </c>
      <c r="N14" s="14"/>
      <c r="O14" s="137"/>
      <c r="P14" s="137"/>
    </row>
    <row r="15" spans="1:16" ht="26.25" x14ac:dyDescent="0.2">
      <c r="B15" s="73" t="s">
        <v>804</v>
      </c>
      <c r="C15" s="51" t="str">
        <f t="shared" si="0"/>
        <v>B.</v>
      </c>
      <c r="D15" s="51">
        <v>2</v>
      </c>
      <c r="F15" s="69"/>
      <c r="G15" s="199" t="s">
        <v>275</v>
      </c>
      <c r="H15" s="200"/>
      <c r="I15" s="201"/>
      <c r="J15" s="202" t="str">
        <f>VLOOKUP(K15,'řádky V'!A:M,13,0)</f>
        <v>Výkonová spotřeba   (ř. 09 + 10)</v>
      </c>
      <c r="K15" s="203">
        <v>8</v>
      </c>
      <c r="L15" s="186">
        <f>IF($D15=3,ROUND($A15*SUMIFS(DATA!$Y:$Y,DATA!$C:$C,INDEX!$C$12,DATA!$N:$N,$B15,DATA!$S:$S,$K15),0)+O15,IF($D15=2,SUMIFS(L:L,$D:$D,3,$C:$C,$C15),0))</f>
        <v>0</v>
      </c>
      <c r="M15" s="204">
        <f>IF($D15=3,ROUND($A15*SUMIFS(DATA!$Y:$Y,DATA!$C:$C,INDEX!$D$12,DATA!$N:$N,$B15,DATA!$S:$S,$K15),0)+P15,IF($D15=2,SUMIFS(M:M,$D:$D,3,$C:$C,$C15),0))</f>
        <v>0</v>
      </c>
      <c r="N15" s="14"/>
    </row>
    <row r="16" spans="1:16" ht="26.25" x14ac:dyDescent="0.2">
      <c r="A16" s="48">
        <v>1</v>
      </c>
      <c r="B16" s="73" t="s">
        <v>804</v>
      </c>
      <c r="C16" s="51" t="str">
        <f t="shared" si="0"/>
        <v>B.</v>
      </c>
      <c r="D16" s="51">
        <v>3</v>
      </c>
      <c r="F16" s="69"/>
      <c r="G16" s="205" t="s">
        <v>275</v>
      </c>
      <c r="H16" s="206"/>
      <c r="I16" s="207" t="s">
        <v>277</v>
      </c>
      <c r="J16" s="208" t="str">
        <f>VLOOKUP(K16,'řádky V'!A:M,13,0)</f>
        <v>Spotřeba materiálu a energie</v>
      </c>
      <c r="K16" s="209">
        <v>9</v>
      </c>
      <c r="L16" s="210">
        <f>IF($D16=3,ROUND($A16*SUMIFS(DATA!$Y:$Y,DATA!$C:$C,INDEX!$C$12,DATA!$N:$N,$B16,DATA!$S:$S,$K16),0)+O16,IF($D16=2,SUMIFS(L:L,$D:$D,3,$C:$C,$C16),0))</f>
        <v>0</v>
      </c>
      <c r="M16" s="211">
        <f>IF($D16=3,ROUND($A16*SUMIFS(DATA!$Y:$Y,DATA!$C:$C,INDEX!$D$12,DATA!$N:$N,$B16,DATA!$S:$S,$K16),0)+P16,IF($D16=2,SUMIFS(M:M,$D:$D,3,$C:$C,$C16),0))</f>
        <v>0</v>
      </c>
      <c r="N16" s="14"/>
      <c r="O16" s="137"/>
      <c r="P16" s="137"/>
    </row>
    <row r="17" spans="1:16" ht="26.25" x14ac:dyDescent="0.2">
      <c r="A17" s="48">
        <v>1</v>
      </c>
      <c r="B17" s="73" t="s">
        <v>804</v>
      </c>
      <c r="C17" s="51" t="str">
        <f t="shared" si="0"/>
        <v>B.</v>
      </c>
      <c r="D17" s="51">
        <v>3</v>
      </c>
      <c r="F17" s="69"/>
      <c r="G17" s="212" t="s">
        <v>275</v>
      </c>
      <c r="H17" s="206"/>
      <c r="I17" s="207" t="s">
        <v>278</v>
      </c>
      <c r="J17" s="208" t="str">
        <f>VLOOKUP(K17,'řádky V'!A:M,13,0)</f>
        <v>Služby</v>
      </c>
      <c r="K17" s="209">
        <v>10</v>
      </c>
      <c r="L17" s="210">
        <f>IF($D17=3,ROUND($A17*SUMIFS(DATA!$Y:$Y,DATA!$C:$C,INDEX!$C$12,DATA!$N:$N,$B17,DATA!$S:$S,$K17),0)+O17,IF($D17=2,SUMIFS(L:L,$D:$D,3,$C:$C,$C17),0))</f>
        <v>0</v>
      </c>
      <c r="M17" s="211">
        <f>IF($D17=3,ROUND($A17*SUMIFS(DATA!$Y:$Y,DATA!$C:$C,INDEX!$D$12,DATA!$N:$N,$B17,DATA!$S:$S,$K17),0)+P17,IF($D17=2,SUMIFS(M:M,$D:$D,3,$C:$C,$C17),0))</f>
        <v>0</v>
      </c>
      <c r="N17" s="14"/>
      <c r="O17" s="137"/>
      <c r="P17" s="137"/>
    </row>
    <row r="18" spans="1:16" ht="26.25" customHeight="1" thickBot="1" x14ac:dyDescent="0.25">
      <c r="B18" s="73" t="s">
        <v>399</v>
      </c>
      <c r="C18" s="51" t="str">
        <f t="shared" si="0"/>
        <v>+</v>
      </c>
      <c r="F18" s="69"/>
      <c r="G18" s="395"/>
      <c r="H18" s="396" t="s">
        <v>399</v>
      </c>
      <c r="I18" s="397"/>
      <c r="J18" s="179" t="str">
        <f>VLOOKUP(K18,'řádky V'!A:M,13,0)</f>
        <v>Přidaná hodnota  (ř. 03 + 04 - 08)</v>
      </c>
      <c r="K18" s="398">
        <v>11</v>
      </c>
      <c r="L18" s="180">
        <f>L10+L11-L15</f>
        <v>0</v>
      </c>
      <c r="M18" s="181">
        <f>M10+M11-M15</f>
        <v>0</v>
      </c>
      <c r="N18" s="14"/>
    </row>
    <row r="19" spans="1:16" ht="26.25" x14ac:dyDescent="0.2">
      <c r="B19" s="73" t="s">
        <v>804</v>
      </c>
      <c r="C19" s="51" t="str">
        <f t="shared" si="0"/>
        <v>C.</v>
      </c>
      <c r="D19" s="51">
        <v>2</v>
      </c>
      <c r="F19" s="69"/>
      <c r="G19" s="213" t="s">
        <v>309</v>
      </c>
      <c r="H19" s="214"/>
      <c r="I19" s="183"/>
      <c r="J19" s="215" t="str">
        <f>VLOOKUP(K19,'řádky V'!A:M,13,0)</f>
        <v>Osobní náklady (ř. 13 až 16)</v>
      </c>
      <c r="K19" s="216">
        <v>12</v>
      </c>
      <c r="L19" s="217">
        <f>IF($D19=3,ROUND($A19*SUMIFS(DATA!$Y:$Y,DATA!$C:$C,INDEX!$C$12,DATA!$N:$N,$B19,DATA!$S:$S,$K19),0)+O19,IF($D19=2,SUMIFS(L:L,$D:$D,3,$C:$C,$C19),0))</f>
        <v>0</v>
      </c>
      <c r="M19" s="218">
        <f>IF($D19=3,ROUND($A19*SUMIFS(DATA!$Y:$Y,DATA!$C:$C,INDEX!$D$12,DATA!$N:$N,$B19,DATA!$S:$S,$K19),0)+P19,IF($D19=2,SUMIFS(M:M,$D:$D,3,$C:$C,$C19),0))</f>
        <v>0</v>
      </c>
      <c r="N19" s="14"/>
    </row>
    <row r="20" spans="1:16" ht="26.25" x14ac:dyDescent="0.2">
      <c r="A20" s="48">
        <v>1</v>
      </c>
      <c r="B20" s="73" t="s">
        <v>804</v>
      </c>
      <c r="C20" s="51" t="str">
        <f t="shared" si="0"/>
        <v>C.</v>
      </c>
      <c r="D20" s="51">
        <v>3</v>
      </c>
      <c r="F20" s="69"/>
      <c r="G20" s="205" t="s">
        <v>309</v>
      </c>
      <c r="H20" s="206"/>
      <c r="I20" s="207" t="s">
        <v>277</v>
      </c>
      <c r="J20" s="208" t="str">
        <f>VLOOKUP(K20,'řádky V'!A:M,13,0)</f>
        <v>Mzdové náklady</v>
      </c>
      <c r="K20" s="209">
        <v>13</v>
      </c>
      <c r="L20" s="210">
        <f>IF($D20=3,ROUND($A20*SUMIFS(DATA!$Y:$Y,DATA!$C:$C,INDEX!$C$12,DATA!$N:$N,$B20,DATA!$S:$S,$K20),0)+O20,IF($D20=2,SUMIFS(L:L,$D:$D,3,$C:$C,$C20),0))</f>
        <v>0</v>
      </c>
      <c r="M20" s="211">
        <f>IF($D20=3,ROUND($A20*SUMIFS(DATA!$Y:$Y,DATA!$C:$C,INDEX!$D$12,DATA!$N:$N,$B20,DATA!$S:$S,$K20),0)+P20,IF($D20=2,SUMIFS(M:M,$D:$D,3,$C:$C,$C20),0))</f>
        <v>0</v>
      </c>
      <c r="N20" s="14"/>
      <c r="O20" s="137"/>
      <c r="P20" s="137"/>
    </row>
    <row r="21" spans="1:16" ht="26.25" x14ac:dyDescent="0.2">
      <c r="A21" s="48">
        <v>1</v>
      </c>
      <c r="B21" s="73" t="s">
        <v>804</v>
      </c>
      <c r="C21" s="51" t="str">
        <f t="shared" si="0"/>
        <v>C.</v>
      </c>
      <c r="D21" s="51">
        <v>3</v>
      </c>
      <c r="F21" s="69"/>
      <c r="G21" s="212" t="s">
        <v>309</v>
      </c>
      <c r="H21" s="206"/>
      <c r="I21" s="207" t="s">
        <v>278</v>
      </c>
      <c r="J21" s="208" t="str">
        <f>VLOOKUP(K21,'řádky V'!A:M,13,0)</f>
        <v>Odměny členům orgánů společnosti a družstva</v>
      </c>
      <c r="K21" s="209">
        <v>14</v>
      </c>
      <c r="L21" s="210">
        <f>IF($D21=3,ROUND($A21*SUMIFS(DATA!$Y:$Y,DATA!$C:$C,INDEX!$C$12,DATA!$N:$N,$B21,DATA!$S:$S,$K21),0)+O21,IF($D21=2,SUMIFS(L:L,$D:$D,3,$C:$C,$C21),0))</f>
        <v>0</v>
      </c>
      <c r="M21" s="211">
        <f>IF($D21=3,ROUND($A21*SUMIFS(DATA!$Y:$Y,DATA!$C:$C,INDEX!$D$12,DATA!$N:$N,$B21,DATA!$S:$S,$K21),0)+P21,IF($D21=2,SUMIFS(M:M,$D:$D,3,$C:$C,$C21),0))</f>
        <v>0</v>
      </c>
      <c r="N21" s="14"/>
      <c r="O21" s="137"/>
      <c r="P21" s="137"/>
    </row>
    <row r="22" spans="1:16" ht="26.25" x14ac:dyDescent="0.2">
      <c r="A22" s="48">
        <v>1</v>
      </c>
      <c r="B22" s="73" t="s">
        <v>804</v>
      </c>
      <c r="C22" s="51" t="str">
        <f t="shared" si="0"/>
        <v>C.</v>
      </c>
      <c r="D22" s="51">
        <v>3</v>
      </c>
      <c r="F22" s="69"/>
      <c r="G22" s="212" t="s">
        <v>309</v>
      </c>
      <c r="H22" s="206"/>
      <c r="I22" s="207" t="s">
        <v>279</v>
      </c>
      <c r="J22" s="208" t="str">
        <f>VLOOKUP(K22,'řádky V'!A:M,13,0)</f>
        <v>Náklady na sociální zabezpečení a zdravotní pojištění</v>
      </c>
      <c r="K22" s="209">
        <v>15</v>
      </c>
      <c r="L22" s="210">
        <f>IF($D22=3,ROUND($A22*SUMIFS(DATA!$Y:$Y,DATA!$C:$C,INDEX!$C$12,DATA!$N:$N,$B22,DATA!$S:$S,$K22),0)+O22,IF($D22=2,SUMIFS(L:L,$D:$D,3,$C:$C,$C22),0))</f>
        <v>0</v>
      </c>
      <c r="M22" s="211">
        <f>IF($D22=3,ROUND($A22*SUMIFS(DATA!$Y:$Y,DATA!$C:$C,INDEX!$D$12,DATA!$N:$N,$B22,DATA!$S:$S,$K22),0)+P22,IF($D22=2,SUMIFS(M:M,$D:$D,3,$C:$C,$C22),0))</f>
        <v>0</v>
      </c>
      <c r="N22" s="14"/>
      <c r="O22" s="137"/>
      <c r="P22" s="137"/>
    </row>
    <row r="23" spans="1:16" ht="26.25" x14ac:dyDescent="0.2">
      <c r="A23" s="48">
        <v>1</v>
      </c>
      <c r="B23" s="73" t="s">
        <v>804</v>
      </c>
      <c r="C23" s="51" t="str">
        <f t="shared" si="0"/>
        <v>C.</v>
      </c>
      <c r="D23" s="51">
        <v>3</v>
      </c>
      <c r="F23" s="69"/>
      <c r="G23" s="212" t="s">
        <v>309</v>
      </c>
      <c r="H23" s="206"/>
      <c r="I23" s="207" t="s">
        <v>280</v>
      </c>
      <c r="J23" s="219" t="str">
        <f>VLOOKUP(K23,'řádky V'!A:M,13,0)</f>
        <v>Sociální náklady</v>
      </c>
      <c r="K23" s="220">
        <v>16</v>
      </c>
      <c r="L23" s="221">
        <f>IF($D23=3,ROUND($A23*SUMIFS(DATA!$Y:$Y,DATA!$C:$C,INDEX!$C$12,DATA!$N:$N,$B23,DATA!$S:$S,$K23),0)+O23,IF($D23=2,SUMIFS(L:L,$D:$D,3,$C:$C,$C23),0))</f>
        <v>0</v>
      </c>
      <c r="M23" s="222">
        <f>IF($D23=3,ROUND($A23*SUMIFS(DATA!$Y:$Y,DATA!$C:$C,INDEX!$D$12,DATA!$N:$N,$B23,DATA!$S:$S,$K23),0)+P23,IF($D23=2,SUMIFS(M:M,$D:$D,3,$C:$C,$C23),0))</f>
        <v>0</v>
      </c>
      <c r="N23" s="14"/>
      <c r="O23" s="137"/>
      <c r="P23" s="137"/>
    </row>
    <row r="24" spans="1:16" ht="26.25" x14ac:dyDescent="0.2">
      <c r="A24" s="48">
        <v>1</v>
      </c>
      <c r="B24" s="73" t="s">
        <v>804</v>
      </c>
      <c r="C24" s="51" t="str">
        <f t="shared" si="0"/>
        <v>D.</v>
      </c>
      <c r="D24" s="51">
        <v>3</v>
      </c>
      <c r="F24" s="69"/>
      <c r="G24" s="223" t="s">
        <v>325</v>
      </c>
      <c r="H24" s="224"/>
      <c r="I24" s="225"/>
      <c r="J24" s="226" t="str">
        <f>VLOOKUP(K24,'řádky V'!A:M,13,0)</f>
        <v>Daně a poplatky</v>
      </c>
      <c r="K24" s="227">
        <v>17</v>
      </c>
      <c r="L24" s="228">
        <f>IF($D24=3,ROUND($A24*SUMIFS(DATA!$Y:$Y,DATA!$C:$C,INDEX!$C$12,DATA!$N:$N,$B24,DATA!$S:$S,$K24),0)+O24,IF($D24=2,SUMIFS(L:L,$D:$D,3,$C:$C,$C24),0))</f>
        <v>0</v>
      </c>
      <c r="M24" s="229">
        <f>IF($D24=3,ROUND($A24*SUMIFS(DATA!$Y:$Y,DATA!$C:$C,INDEX!$D$12,DATA!$N:$N,$B24,DATA!$S:$S,$K24),0)+P24,IF($D24=2,SUMIFS(M:M,$D:$D,3,$C:$C,$C24),0))</f>
        <v>0</v>
      </c>
      <c r="N24" s="14"/>
      <c r="O24" s="137"/>
      <c r="P24" s="137"/>
    </row>
    <row r="25" spans="1:16" ht="26.25" x14ac:dyDescent="0.2">
      <c r="A25" s="48">
        <v>1</v>
      </c>
      <c r="B25" s="73" t="s">
        <v>804</v>
      </c>
      <c r="C25" s="51" t="str">
        <f t="shared" si="0"/>
        <v>E.</v>
      </c>
      <c r="D25" s="51">
        <v>3</v>
      </c>
      <c r="F25" s="69"/>
      <c r="G25" s="223" t="s">
        <v>400</v>
      </c>
      <c r="H25" s="224"/>
      <c r="I25" s="225"/>
      <c r="J25" s="226" t="str">
        <f>VLOOKUP(K25,'řádky V'!A:M,13,0)</f>
        <v>Odpisy  dlouhodobého nehmotného a hmotného majetku</v>
      </c>
      <c r="K25" s="227">
        <v>18</v>
      </c>
      <c r="L25" s="228">
        <f>IF($D25=3,ROUND($A25*SUMIFS(DATA!$Y:$Y,DATA!$C:$C,INDEX!$C$12,DATA!$N:$N,$B25,DATA!$S:$S,$K25),0)+O25,IF($D25=2,SUMIFS(L:L,$D:$D,3,$C:$C,$C25),0))</f>
        <v>0</v>
      </c>
      <c r="M25" s="229">
        <f>IF($D25=3,ROUND($A25*SUMIFS(DATA!$Y:$Y,DATA!$C:$C,INDEX!$D$12,DATA!$N:$N,$B25,DATA!$S:$S,$K25),0)+P25,IF($D25=2,SUMIFS(M:M,$D:$D,3,$C:$C,$C25),0))</f>
        <v>0</v>
      </c>
      <c r="N25" s="14"/>
      <c r="O25" s="137"/>
      <c r="P25" s="137"/>
    </row>
    <row r="26" spans="1:16" ht="26.25" x14ac:dyDescent="0.2">
      <c r="B26" s="73" t="s">
        <v>399</v>
      </c>
      <c r="C26" s="51" t="str">
        <f t="shared" si="0"/>
        <v>III.</v>
      </c>
      <c r="D26" s="51">
        <v>2</v>
      </c>
      <c r="F26" s="69"/>
      <c r="G26" s="230"/>
      <c r="H26" s="231" t="s">
        <v>291</v>
      </c>
      <c r="I26" s="232"/>
      <c r="J26" s="184" t="str">
        <f>VLOOKUP(K26,'řádky V'!A:M,13,0)</f>
        <v>Tržby z prodeje dlouhodobého majetku a materiálu (ř. 20 + 21)</v>
      </c>
      <c r="K26" s="185">
        <v>19</v>
      </c>
      <c r="L26" s="233">
        <f>IF($D26=3,ROUND($A26*SUMIFS(DATA!$Y:$Y,DATA!$C:$C,INDEX!$C$12,DATA!$N:$N,$B26,DATA!$S:$S,$K26),0)+O26,IF($D26=2,SUMIFS(L:L,$D:$D,3,$C:$C,$C26),0))</f>
        <v>0</v>
      </c>
      <c r="M26" s="187">
        <f>IF($D26=3,ROUND($A26*SUMIFS(DATA!$Y:$Y,DATA!$C:$C,INDEX!$D$12,DATA!$N:$N,$B26,DATA!$S:$S,$K26),0)+P26,IF($D26=2,SUMIFS(M:M,$D:$D,3,$C:$C,$C26),0))</f>
        <v>0</v>
      </c>
      <c r="N26" s="14"/>
    </row>
    <row r="27" spans="1:16" ht="26.25" x14ac:dyDescent="0.2">
      <c r="A27" s="48">
        <v>-1</v>
      </c>
      <c r="B27" s="73" t="s">
        <v>806</v>
      </c>
      <c r="C27" s="51" t="str">
        <f t="shared" si="0"/>
        <v>III.</v>
      </c>
      <c r="D27" s="51">
        <v>3</v>
      </c>
      <c r="F27" s="69"/>
      <c r="G27" s="234"/>
      <c r="H27" s="235" t="s">
        <v>291</v>
      </c>
      <c r="I27" s="236" t="s">
        <v>277</v>
      </c>
      <c r="J27" s="208" t="str">
        <f>VLOOKUP(K27,'řádky V'!A:M,13,0)</f>
        <v xml:space="preserve">Tržby z prodeje dlouhodobého majetku </v>
      </c>
      <c r="K27" s="209">
        <v>20</v>
      </c>
      <c r="L27" s="210">
        <f>IF($D27=3,ROUND($A27*SUMIFS(DATA!$Y:$Y,DATA!$C:$C,INDEX!$C$12,DATA!$N:$N,$B27,DATA!$S:$S,$K27),0)+O27,IF($D27=2,SUMIFS(L:L,$D:$D,3,$C:$C,$C27),0))</f>
        <v>0</v>
      </c>
      <c r="M27" s="211">
        <f>IF($D27=3,ROUND($A27*SUMIFS(DATA!$Y:$Y,DATA!$C:$C,INDEX!$D$12,DATA!$N:$N,$B27,DATA!$S:$S,$K27),0)+P27,IF($D27=2,SUMIFS(M:M,$D:$D,3,$C:$C,$C27),0))</f>
        <v>0</v>
      </c>
      <c r="N27" s="14"/>
      <c r="O27" s="137"/>
      <c r="P27" s="137"/>
    </row>
    <row r="28" spans="1:16" ht="26.25" x14ac:dyDescent="0.2">
      <c r="A28" s="48">
        <v>-1</v>
      </c>
      <c r="B28" s="73" t="s">
        <v>806</v>
      </c>
      <c r="C28" s="51" t="str">
        <f t="shared" si="0"/>
        <v>III.</v>
      </c>
      <c r="D28" s="51">
        <v>3</v>
      </c>
      <c r="F28" s="69"/>
      <c r="G28" s="234"/>
      <c r="H28" s="237" t="s">
        <v>291</v>
      </c>
      <c r="I28" s="236" t="s">
        <v>278</v>
      </c>
      <c r="J28" s="219" t="str">
        <f>VLOOKUP(K28,'řádky V'!A:M,13,0)</f>
        <v>Tržby z prodeje materiálu</v>
      </c>
      <c r="K28" s="220">
        <v>21</v>
      </c>
      <c r="L28" s="221">
        <f>IF($D28=3,ROUND($A28*SUMIFS(DATA!$Y:$Y,DATA!$C:$C,INDEX!$C$12,DATA!$N:$N,$B28,DATA!$S:$S,$K28),0)+O28,IF($D28=2,SUMIFS(L:L,$D:$D,3,$C:$C,$C28),0))</f>
        <v>0</v>
      </c>
      <c r="M28" s="222">
        <f>IF($D28=3,ROUND($A28*SUMIFS(DATA!$Y:$Y,DATA!$C:$C,INDEX!$D$12,DATA!$N:$N,$B28,DATA!$S:$S,$K28),0)+P28,IF($D28=2,SUMIFS(M:M,$D:$D,3,$C:$C,$C28),0))</f>
        <v>0</v>
      </c>
      <c r="O28" s="137"/>
      <c r="P28" s="137"/>
    </row>
    <row r="29" spans="1:16" ht="26.25" x14ac:dyDescent="0.2">
      <c r="C29" s="51" t="str">
        <f t="shared" si="0"/>
        <v>F.</v>
      </c>
      <c r="D29" s="51">
        <v>2</v>
      </c>
      <c r="F29" s="69"/>
      <c r="G29" s="238" t="s">
        <v>401</v>
      </c>
      <c r="H29" s="251"/>
      <c r="I29" s="252"/>
      <c r="J29" s="202" t="str">
        <f>VLOOKUP(K29,'řádky V'!A:M,13,0)</f>
        <v>Zůstatková cena prodaného dlouhodobého majetku a materiálu (ř. 23 + 24)</v>
      </c>
      <c r="K29" s="203">
        <v>22</v>
      </c>
      <c r="L29" s="186">
        <f>IF($D29=3,ROUND($A29*SUMIFS(DATA!$Y:$Y,DATA!$C:$C,INDEX!$C$12,DATA!$N:$N,$B29,DATA!$S:$S,$K29),0)+O29,IF($D29=2,SUMIFS(L:L,$D:$D,3,$C:$C,$C29),0))</f>
        <v>0</v>
      </c>
      <c r="M29" s="204">
        <f>IF($D29=3,ROUND($A29*SUMIFS(DATA!$Y:$Y,DATA!$C:$C,INDEX!$D$12,DATA!$N:$N,$B29,DATA!$S:$S,$K29),0)+P29,IF($D29=2,SUMIFS(M:M,$D:$D,3,$C:$C,$C29),0))</f>
        <v>0</v>
      </c>
    </row>
    <row r="30" spans="1:16" s="138" customFormat="1" ht="26.25" x14ac:dyDescent="0.2">
      <c r="A30" s="48">
        <v>1</v>
      </c>
      <c r="B30" s="73" t="s">
        <v>804</v>
      </c>
      <c r="C30" s="51" t="str">
        <f t="shared" si="0"/>
        <v>F.</v>
      </c>
      <c r="D30" s="51">
        <v>3</v>
      </c>
      <c r="E30" s="51"/>
      <c r="F30" s="69"/>
      <c r="G30" s="241" t="s">
        <v>401</v>
      </c>
      <c r="H30" s="235"/>
      <c r="I30" s="236" t="s">
        <v>277</v>
      </c>
      <c r="J30" s="208" t="str">
        <f>VLOOKUP(K30,'řádky V'!A:M,13,0)</f>
        <v>Zůstatková cena prodaného dlouhodobého majetku</v>
      </c>
      <c r="K30" s="209">
        <v>23</v>
      </c>
      <c r="L30" s="210">
        <f>IF($D30=3,ROUND($A30*SUMIFS(DATA!$Y:$Y,DATA!$C:$C,INDEX!$C$12,DATA!$N:$N,$B30,DATA!$S:$S,$K30),0)+O30,IF($D30=2,SUMIFS(L:L,$D:$D,3,$C:$C,$C30),0))</f>
        <v>0</v>
      </c>
      <c r="M30" s="211">
        <f>IF($D30=3,ROUND($A30*SUMIFS(DATA!$Y:$Y,DATA!$C:$C,INDEX!$D$12,DATA!$N:$N,$B30,DATA!$S:$S,$K30),0)+P30,IF($D30=2,SUMIFS(M:M,$D:$D,3,$C:$C,$C30),0))</f>
        <v>0</v>
      </c>
      <c r="O30" s="137"/>
      <c r="P30" s="137"/>
    </row>
    <row r="31" spans="1:16" s="138" customFormat="1" ht="26.25" x14ac:dyDescent="0.2">
      <c r="A31" s="48">
        <v>1</v>
      </c>
      <c r="B31" s="73" t="s">
        <v>804</v>
      </c>
      <c r="C31" s="51" t="str">
        <f t="shared" si="0"/>
        <v>F.</v>
      </c>
      <c r="D31" s="51">
        <v>3</v>
      </c>
      <c r="E31" s="51"/>
      <c r="F31" s="69"/>
      <c r="G31" s="241" t="s">
        <v>401</v>
      </c>
      <c r="H31" s="235"/>
      <c r="I31" s="236" t="s">
        <v>278</v>
      </c>
      <c r="J31" s="219" t="str">
        <f>VLOOKUP(K31,'řádky V'!A:M,13,0)</f>
        <v>Prodaný materiál</v>
      </c>
      <c r="K31" s="220">
        <v>24</v>
      </c>
      <c r="L31" s="221">
        <f>IF($D31=3,ROUND($A31*SUMIFS(DATA!$Y:$Y,DATA!$C:$C,INDEX!$C$12,DATA!$N:$N,$B31,DATA!$S:$S,$K31),0)+O31,IF($D31=2,SUMIFS(L:L,$D:$D,3,$C:$C,$C31),0))</f>
        <v>0</v>
      </c>
      <c r="M31" s="222">
        <f>IF($D31=3,ROUND($A31*SUMIFS(DATA!$Y:$Y,DATA!$C:$C,INDEX!$D$12,DATA!$N:$N,$B31,DATA!$S:$S,$K31),0)+P31,IF($D31=2,SUMIFS(M:M,$D:$D,3,$C:$C,$C31),0))</f>
        <v>0</v>
      </c>
      <c r="O31" s="137"/>
      <c r="P31" s="137"/>
    </row>
    <row r="32" spans="1:16" s="138" customFormat="1" ht="27" customHeight="1" x14ac:dyDescent="0.2">
      <c r="A32" s="48">
        <v>1</v>
      </c>
      <c r="B32" s="73" t="s">
        <v>804</v>
      </c>
      <c r="C32" s="51" t="str">
        <f t="shared" si="0"/>
        <v>G.</v>
      </c>
      <c r="D32" s="51">
        <v>3</v>
      </c>
      <c r="E32" s="51"/>
      <c r="F32" s="69"/>
      <c r="G32" s="242" t="s">
        <v>402</v>
      </c>
      <c r="H32" s="239"/>
      <c r="I32" s="240"/>
      <c r="J32" s="243" t="str">
        <f>VLOOKUP(K32,'řádky V'!A:M,13,0)</f>
        <v>Změna stavu rezerv a opravných položek v provozní oblasti a komplexních nákladů příštích období</v>
      </c>
      <c r="K32" s="244">
        <v>25</v>
      </c>
      <c r="L32" s="245">
        <f>IF($D32=3,ROUND($A32*SUMIFS(DATA!$Y:$Y,DATA!$C:$C,INDEX!$C$12,DATA!$N:$N,$B32,DATA!$S:$S,$K32),0)+O32,IF($D32=2,SUMIFS(L:L,$D:$D,3,$C:$C,$C32),0))</f>
        <v>0</v>
      </c>
      <c r="M32" s="246">
        <f>IF($D32=3,ROUND($A32*SUMIFS(DATA!$Y:$Y,DATA!$C:$C,INDEX!$D$12,DATA!$N:$N,$B32,DATA!$S:$S,$K32),0)+P32,IF($D32=2,SUMIFS(M:M,$D:$D,3,$C:$C,$C32),0))</f>
        <v>0</v>
      </c>
      <c r="O32" s="137"/>
      <c r="P32" s="137"/>
    </row>
    <row r="33" spans="1:16" s="138" customFormat="1" ht="26.25" x14ac:dyDescent="0.2">
      <c r="A33" s="48">
        <v>-1</v>
      </c>
      <c r="B33" s="73" t="s">
        <v>806</v>
      </c>
      <c r="C33" s="51" t="str">
        <f t="shared" si="0"/>
        <v>IV.</v>
      </c>
      <c r="D33" s="51">
        <v>3</v>
      </c>
      <c r="E33" s="51"/>
      <c r="F33" s="69"/>
      <c r="G33" s="242"/>
      <c r="H33" s="239" t="s">
        <v>322</v>
      </c>
      <c r="I33" s="240"/>
      <c r="J33" s="247" t="str">
        <f>VLOOKUP(K33,'řádky V'!A:M,13,0)</f>
        <v>Ostatní provozní výnosy</v>
      </c>
      <c r="K33" s="248">
        <v>26</v>
      </c>
      <c r="L33" s="249">
        <f>IF($D33=3,ROUND($A33*SUMIFS(DATA!$Y:$Y,DATA!$C:$C,INDEX!$C$12,DATA!$N:$N,$B33,DATA!$S:$S,$K33),0)+O33,IF($D33=2,SUMIFS(L:L,$D:$D,3,$C:$C,$C33),0))</f>
        <v>0</v>
      </c>
      <c r="M33" s="250">
        <f>IF($D33=3,ROUND($A33*SUMIFS(DATA!$Y:$Y,DATA!$C:$C,INDEX!$D$12,DATA!$N:$N,$B33,DATA!$S:$S,$K33),0)+P33,IF($D33=2,SUMIFS(M:M,$D:$D,3,$C:$C,$C33),0))</f>
        <v>0</v>
      </c>
      <c r="N33" s="418" t="s">
        <v>920</v>
      </c>
      <c r="O33" s="137"/>
      <c r="P33" s="137"/>
    </row>
    <row r="34" spans="1:16" s="138" customFormat="1" ht="26.25" x14ac:dyDescent="0.2">
      <c r="A34" s="48">
        <v>1</v>
      </c>
      <c r="B34" s="73" t="s">
        <v>804</v>
      </c>
      <c r="C34" s="51" t="str">
        <f t="shared" si="0"/>
        <v>H.</v>
      </c>
      <c r="D34" s="51">
        <v>3</v>
      </c>
      <c r="E34" s="51"/>
      <c r="F34" s="69"/>
      <c r="G34" s="234" t="s">
        <v>403</v>
      </c>
      <c r="H34" s="235"/>
      <c r="I34" s="236"/>
      <c r="J34" s="219" t="str">
        <f>VLOOKUP(K34,'řádky V'!A:M,13,0)</f>
        <v>Ostatní provozní náklady</v>
      </c>
      <c r="K34" s="220">
        <v>27</v>
      </c>
      <c r="L34" s="221">
        <f>IF($D34=3,ROUND($A34*SUMIFS(DATA!$Y:$Y,DATA!$C:$C,INDEX!$C$12,DATA!$N:$N,$B34,DATA!$S:$S,$K34),0)+O34,IF($D34=2,SUMIFS(L:L,$D:$D,3,$C:$C,$C34),0))</f>
        <v>0</v>
      </c>
      <c r="M34" s="222">
        <f>IF($D34=3,ROUND($A34*SUMIFS(DATA!$Y:$Y,DATA!$C:$C,INDEX!$D$12,DATA!$N:$N,$B34,DATA!$S:$S,$K34),0)+P34,IF($D34=2,SUMIFS(M:M,$D:$D,3,$C:$C,$C34),0))</f>
        <v>0</v>
      </c>
      <c r="N34" s="418"/>
      <c r="O34" s="137"/>
      <c r="P34" s="137"/>
    </row>
    <row r="35" spans="1:16" s="138" customFormat="1" ht="26.25" customHeight="1" x14ac:dyDescent="0.2">
      <c r="A35" s="48">
        <v>-1</v>
      </c>
      <c r="B35" s="73" t="s">
        <v>806</v>
      </c>
      <c r="C35" s="51" t="str">
        <f t="shared" si="0"/>
        <v>V.</v>
      </c>
      <c r="D35" s="51">
        <v>3</v>
      </c>
      <c r="E35" s="51"/>
      <c r="F35" s="69"/>
      <c r="G35" s="242"/>
      <c r="H35" s="239" t="s">
        <v>345</v>
      </c>
      <c r="I35" s="240"/>
      <c r="J35" s="247" t="str">
        <f>VLOOKUP(K35,'řádky V'!A:M,13,0)</f>
        <v>Převod provozních výnosů</v>
      </c>
      <c r="K35" s="248">
        <v>28</v>
      </c>
      <c r="L35" s="249">
        <f>IF($D35=3,ROUND($A35*SUMIFS(DATA!$Y:$Y,DATA!$C:$C,INDEX!$C$12,DATA!$N:$N,$B35,DATA!$S:$S,$K35),0)+O35,IF($D35=2,SUMIFS(L:L,$D:$D,3,$C:$C,$C35),0))</f>
        <v>0</v>
      </c>
      <c r="M35" s="250">
        <f>IF($D35=3,ROUND($A35*SUMIFS(DATA!$Y:$Y,DATA!$C:$C,INDEX!$D$12,DATA!$N:$N,$B35,DATA!$S:$S,$K35),0)+P35,IF($D35=2,SUMIFS(M:M,$D:$D,3,$C:$C,$C35),0))</f>
        <v>0</v>
      </c>
      <c r="N35" s="418"/>
      <c r="O35" s="137"/>
      <c r="P35" s="137"/>
    </row>
    <row r="36" spans="1:16" s="138" customFormat="1" ht="26.25" x14ac:dyDescent="0.2">
      <c r="A36" s="48">
        <v>1</v>
      </c>
      <c r="B36" s="73" t="s">
        <v>804</v>
      </c>
      <c r="C36" s="51" t="str">
        <f t="shared" si="0"/>
        <v>I.</v>
      </c>
      <c r="D36" s="51">
        <v>3</v>
      </c>
      <c r="E36" s="51"/>
      <c r="F36" s="69"/>
      <c r="G36" s="234" t="s">
        <v>276</v>
      </c>
      <c r="H36" s="235"/>
      <c r="I36" s="236"/>
      <c r="J36" s="208" t="str">
        <f>VLOOKUP(K36,'řádky V'!A:M,13,0)</f>
        <v>Převod provozních nákladů</v>
      </c>
      <c r="K36" s="209">
        <v>29</v>
      </c>
      <c r="L36" s="210">
        <f>IF($D36=3,ROUND($A36*SUMIFS(DATA!$Y:$Y,DATA!$C:$C,INDEX!$C$12,DATA!$N:$N,$B36,DATA!$S:$S,$K36),0)+O36,IF($D36=2,SUMIFS(L:L,$D:$D,3,$C:$C,$C36),0))</f>
        <v>0</v>
      </c>
      <c r="M36" s="211">
        <f>IF($D36=3,ROUND($A36*SUMIFS(DATA!$Y:$Y,DATA!$C:$C,INDEX!$D$12,DATA!$N:$N,$B36,DATA!$S:$S,$K36),0)+P36,IF($D36=2,SUMIFS(M:M,$D:$D,3,$C:$C,$C36),0))</f>
        <v>0</v>
      </c>
      <c r="N36" s="418"/>
      <c r="O36" s="137"/>
      <c r="P36" s="137"/>
    </row>
    <row r="37" spans="1:16" ht="26.25" customHeight="1" thickBot="1" x14ac:dyDescent="0.25">
      <c r="B37" s="73" t="s">
        <v>399</v>
      </c>
      <c r="C37" s="51" t="str">
        <f t="shared" si="0"/>
        <v>*</v>
      </c>
      <c r="F37" s="69"/>
      <c r="G37" s="395"/>
      <c r="H37" s="396" t="s">
        <v>307</v>
      </c>
      <c r="I37" s="397"/>
      <c r="J37" s="179" t="str">
        <f>VLOOKUP(K37,'řádky V'!A:M,13,0)</f>
        <v>Provozní výsledek hospodaření
(ř. 11 - 12 - 17 - 18 + 19 - 22 - 25 + 26 - 27 +(-28) - (-29))</v>
      </c>
      <c r="K37" s="398">
        <v>30</v>
      </c>
      <c r="L37" s="180">
        <f>L18-L19-L24-L25+L26-L29-L32+L33-L34+L35-L36</f>
        <v>0</v>
      </c>
      <c r="M37" s="181">
        <f>M18-M19-M24-M25+M26-M29-M32+M33-M34+M35-M36</f>
        <v>0</v>
      </c>
      <c r="N37" s="418"/>
    </row>
    <row r="38" spans="1:16" ht="26.25" x14ac:dyDescent="0.2">
      <c r="A38" s="48">
        <v>-1</v>
      </c>
      <c r="B38" s="73" t="s">
        <v>806</v>
      </c>
      <c r="C38" s="51" t="str">
        <f t="shared" si="0"/>
        <v>VI.</v>
      </c>
      <c r="D38" s="51">
        <v>3</v>
      </c>
      <c r="F38" s="68"/>
      <c r="G38" s="242"/>
      <c r="H38" s="239" t="s">
        <v>427</v>
      </c>
      <c r="I38" s="240"/>
      <c r="J38" s="247" t="str">
        <f>VLOOKUP(K38,'řádky V'!A:M,13,0)</f>
        <v>Tržby z prodeje cenných papírů a podílů</v>
      </c>
      <c r="K38" s="248">
        <v>31</v>
      </c>
      <c r="L38" s="249">
        <f>IF($D38=3,ROUND($A38*SUMIFS(DATA!$Y:$Y,DATA!$C:$C,INDEX!$C$12,DATA!$N:$N,$B38,DATA!$S:$S,$K38),0)+O38,IF($D38=2,SUMIFS(L:L,$D:$D,3,$C:$C,$C38),0))</f>
        <v>0</v>
      </c>
      <c r="M38" s="250">
        <f>IF($D38=3,ROUND($A38*SUMIFS(DATA!$Y:$Y,DATA!$C:$C,INDEX!$D$12,DATA!$N:$N,$B38,DATA!$S:$S,$K38),0)+P38,IF($D38=2,SUMIFS(M:M,$D:$D,3,$C:$C,$C38),0))</f>
        <v>0</v>
      </c>
      <c r="O38" s="137"/>
      <c r="P38" s="137"/>
    </row>
    <row r="39" spans="1:16" ht="26.25" x14ac:dyDescent="0.2">
      <c r="A39" s="48">
        <v>1</v>
      </c>
      <c r="B39" s="73" t="s">
        <v>804</v>
      </c>
      <c r="C39" s="51" t="str">
        <f t="shared" si="0"/>
        <v>J.</v>
      </c>
      <c r="D39" s="51">
        <v>3</v>
      </c>
      <c r="F39" s="68"/>
      <c r="G39" s="234" t="s">
        <v>428</v>
      </c>
      <c r="H39" s="235"/>
      <c r="I39" s="236"/>
      <c r="J39" s="219" t="str">
        <f>VLOOKUP(K39,'řádky V'!A:M,13,0)</f>
        <v>Prodané cenné papíry a podíly</v>
      </c>
      <c r="K39" s="220">
        <v>32</v>
      </c>
      <c r="L39" s="221">
        <f>IF($D39=3,ROUND($A39*SUMIFS(DATA!$Y:$Y,DATA!$C:$C,INDEX!$C$12,DATA!$N:$N,$B39,DATA!$S:$S,$K39),0)+O39,IF($D39=2,SUMIFS(L:L,$D:$D,3,$C:$C,$C39),0))</f>
        <v>0</v>
      </c>
      <c r="M39" s="222">
        <f>IF($D39=3,ROUND($A39*SUMIFS(DATA!$Y:$Y,DATA!$C:$C,INDEX!$D$12,DATA!$N:$N,$B39,DATA!$S:$S,$K39),0)+P39,IF($D39=2,SUMIFS(M:M,$D:$D,3,$C:$C,$C39),0))</f>
        <v>0</v>
      </c>
      <c r="O39" s="137"/>
      <c r="P39" s="137"/>
    </row>
    <row r="40" spans="1:16" ht="26.25" x14ac:dyDescent="0.2">
      <c r="C40" s="51" t="str">
        <f t="shared" si="0"/>
        <v>VII.</v>
      </c>
      <c r="D40" s="51">
        <v>2</v>
      </c>
      <c r="F40" s="68"/>
      <c r="G40" s="238"/>
      <c r="H40" s="251" t="s">
        <v>429</v>
      </c>
      <c r="I40" s="252"/>
      <c r="J40" s="202" t="str">
        <f>VLOOKUP(K40,'řádky V'!A:M,13,0)</f>
        <v>Výnosy z dlouhodobého finančního majetku (ř. 34 + 35 + 36)</v>
      </c>
      <c r="K40" s="203">
        <v>33</v>
      </c>
      <c r="L40" s="186">
        <f>IF($D40=3,ROUND($A40*SUMIFS(DATA!$Y:$Y,DATA!$C:$C,INDEX!$C$12,DATA!$N:$N,$B40,DATA!$S:$S,$K40),0)+O40,IF($D40=2,SUMIFS(L:L,$D:$D,3,$C:$C,$C40),0))</f>
        <v>0</v>
      </c>
      <c r="M40" s="204">
        <f>IF($D40=3,ROUND($A40*SUMIFS(DATA!$Y:$Y,DATA!$C:$C,INDEX!$D$12,DATA!$N:$N,$B40,DATA!$S:$S,$K40),0)+P40,IF($D40=2,SUMIFS(M:M,$D:$D,3,$C:$C,$C40),0))</f>
        <v>0</v>
      </c>
    </row>
    <row r="41" spans="1:16" ht="26.25" x14ac:dyDescent="0.2">
      <c r="A41" s="48">
        <v>-1</v>
      </c>
      <c r="B41" s="73" t="s">
        <v>806</v>
      </c>
      <c r="C41" s="51" t="str">
        <f t="shared" si="0"/>
        <v>VII.</v>
      </c>
      <c r="D41" s="51">
        <v>3</v>
      </c>
      <c r="F41" s="68"/>
      <c r="G41" s="234"/>
      <c r="H41" s="235" t="s">
        <v>429</v>
      </c>
      <c r="I41" s="236" t="s">
        <v>277</v>
      </c>
      <c r="J41" s="208" t="str">
        <f>VLOOKUP(K41,'řádky V'!A:M,13,0)</f>
        <v>Výnosy z podílů v ovládaných osobách a v účetních jednotkách pod podstatným vlivem</v>
      </c>
      <c r="K41" s="209">
        <v>34</v>
      </c>
      <c r="L41" s="210">
        <f>IF($D41=3,ROUND($A41*SUMIFS(DATA!$Y:$Y,DATA!$C:$C,INDEX!$C$12,DATA!$N:$N,$B41,DATA!$S:$S,$K41),0)+O41,IF($D41=2,SUMIFS(L:L,$D:$D,3,$C:$C,$C41),0))</f>
        <v>0</v>
      </c>
      <c r="M41" s="211">
        <f>IF($D41=3,ROUND($A41*SUMIFS(DATA!$Y:$Y,DATA!$C:$C,INDEX!$D$12,DATA!$N:$N,$B41,DATA!$S:$S,$K41),0)+P41,IF($D41=2,SUMIFS(M:M,$D:$D,3,$C:$C,$C41),0))</f>
        <v>0</v>
      </c>
      <c r="O41" s="137"/>
      <c r="P41" s="137"/>
    </row>
    <row r="42" spans="1:16" ht="26.25" x14ac:dyDescent="0.2">
      <c r="A42" s="48">
        <v>-1</v>
      </c>
      <c r="B42" s="73" t="s">
        <v>806</v>
      </c>
      <c r="C42" s="51" t="str">
        <f t="shared" si="0"/>
        <v>VII.</v>
      </c>
      <c r="D42" s="51">
        <v>3</v>
      </c>
      <c r="F42" s="68"/>
      <c r="G42" s="234"/>
      <c r="H42" s="235" t="s">
        <v>429</v>
      </c>
      <c r="I42" s="236" t="s">
        <v>278</v>
      </c>
      <c r="J42" s="208" t="str">
        <f>VLOOKUP(K42,'řádky V'!A:M,13,0)</f>
        <v>Výnosy z ostatních dlouhodobých cenných papírů a podílů</v>
      </c>
      <c r="K42" s="209">
        <v>35</v>
      </c>
      <c r="L42" s="210">
        <f>IF($D42=3,ROUND($A42*SUMIFS(DATA!$Y:$Y,DATA!$C:$C,INDEX!$C$12,DATA!$N:$N,$B42,DATA!$S:$S,$K42),0)+O42,IF($D42=2,SUMIFS(L:L,$D:$D,3,$C:$C,$C42),0))</f>
        <v>0</v>
      </c>
      <c r="M42" s="211">
        <f>IF($D42=3,ROUND($A42*SUMIFS(DATA!$Y:$Y,DATA!$C:$C,INDEX!$D$12,DATA!$N:$N,$B42,DATA!$S:$S,$K42),0)+P42,IF($D42=2,SUMIFS(M:M,$D:$D,3,$C:$C,$C42),0))</f>
        <v>0</v>
      </c>
      <c r="O42" s="137"/>
      <c r="P42" s="137"/>
    </row>
    <row r="43" spans="1:16" ht="26.25" x14ac:dyDescent="0.2">
      <c r="A43" s="48">
        <v>-1</v>
      </c>
      <c r="B43" s="73" t="s">
        <v>806</v>
      </c>
      <c r="C43" s="51" t="str">
        <f t="shared" si="0"/>
        <v>VII.</v>
      </c>
      <c r="D43" s="51">
        <v>3</v>
      </c>
      <c r="F43" s="68"/>
      <c r="G43" s="234"/>
      <c r="H43" s="235" t="s">
        <v>429</v>
      </c>
      <c r="I43" s="236" t="s">
        <v>279</v>
      </c>
      <c r="J43" s="208" t="str">
        <f>VLOOKUP(K43,'řádky V'!A:M,13,0)</f>
        <v>Výnosy z ostatního dlouhodobého finančního majetku</v>
      </c>
      <c r="K43" s="209">
        <v>36</v>
      </c>
      <c r="L43" s="210">
        <f>IF($D43=3,ROUND($A43*SUMIFS(DATA!$Y:$Y,DATA!$C:$C,INDEX!$C$12,DATA!$N:$N,$B43,DATA!$S:$S,$K43),0)+O43,IF($D43=2,SUMIFS(L:L,$D:$D,3,$C:$C,$C43),0))</f>
        <v>0</v>
      </c>
      <c r="M43" s="211">
        <f>IF($D43=3,ROUND($A43*SUMIFS(DATA!$Y:$Y,DATA!$C:$C,INDEX!$D$12,DATA!$N:$N,$B43,DATA!$S:$S,$K43),0)+P43,IF($D43=2,SUMIFS(M:M,$D:$D,3,$C:$C,$C43),0))</f>
        <v>0</v>
      </c>
      <c r="O43" s="137"/>
      <c r="P43" s="137"/>
    </row>
    <row r="44" spans="1:16" ht="26.25" x14ac:dyDescent="0.2">
      <c r="A44" s="48">
        <v>-1</v>
      </c>
      <c r="B44" s="73" t="s">
        <v>806</v>
      </c>
      <c r="C44" s="51" t="str">
        <f t="shared" si="0"/>
        <v>VIII.</v>
      </c>
      <c r="D44" s="51">
        <v>3</v>
      </c>
      <c r="F44" s="68"/>
      <c r="G44" s="242"/>
      <c r="H44" s="239" t="s">
        <v>430</v>
      </c>
      <c r="I44" s="240"/>
      <c r="J44" s="243" t="str">
        <f>VLOOKUP(K44,'řádky V'!A:M,13,0)</f>
        <v>Výnosy z krátkodobého finančního majetku</v>
      </c>
      <c r="K44" s="244">
        <v>37</v>
      </c>
      <c r="L44" s="245">
        <f>IF($D44=3,ROUND($A44*SUMIFS(DATA!$Y:$Y,DATA!$C:$C,INDEX!$C$12,DATA!$N:$N,$B44,DATA!$S:$S,$K44),0)+O44,IF($D44=2,SUMIFS(L:L,$D:$D,3,$C:$C,$C44),0))</f>
        <v>0</v>
      </c>
      <c r="M44" s="246">
        <f>IF($D44=3,ROUND($A44*SUMIFS(DATA!$Y:$Y,DATA!$C:$C,INDEX!$D$12,DATA!$N:$N,$B44,DATA!$S:$S,$K44),0)+P44,IF($D44=2,SUMIFS(M:M,$D:$D,3,$C:$C,$C44),0))</f>
        <v>0</v>
      </c>
      <c r="O44" s="137"/>
      <c r="P44" s="137"/>
    </row>
    <row r="45" spans="1:16" ht="26.25" x14ac:dyDescent="0.2">
      <c r="A45" s="48">
        <v>1</v>
      </c>
      <c r="B45" s="73" t="s">
        <v>804</v>
      </c>
      <c r="C45" s="51" t="str">
        <f t="shared" si="0"/>
        <v>K.</v>
      </c>
      <c r="D45" s="51">
        <v>3</v>
      </c>
      <c r="F45" s="68"/>
      <c r="G45" s="242" t="s">
        <v>431</v>
      </c>
      <c r="H45" s="239"/>
      <c r="I45" s="240"/>
      <c r="J45" s="243" t="str">
        <f>VLOOKUP(K45,'řádky V'!A:M,13,0)</f>
        <v>Náklady z finančního majetku</v>
      </c>
      <c r="K45" s="244">
        <v>38</v>
      </c>
      <c r="L45" s="245">
        <f>IF($D45=3,ROUND($A45*SUMIFS(DATA!$Y:$Y,DATA!$C:$C,INDEX!$C$12,DATA!$N:$N,$B45,DATA!$S:$S,$K45),0)+O45,IF($D45=2,SUMIFS(L:L,$D:$D,3,$C:$C,$C45),0))</f>
        <v>0</v>
      </c>
      <c r="M45" s="246">
        <f>IF($D45=3,ROUND($A45*SUMIFS(DATA!$Y:$Y,DATA!$C:$C,INDEX!$D$12,DATA!$N:$N,$B45,DATA!$S:$S,$K45),0)+P45,IF($D45=2,SUMIFS(M:M,$D:$D,3,$C:$C,$C45),0))</f>
        <v>0</v>
      </c>
      <c r="O45" s="137"/>
      <c r="P45" s="137"/>
    </row>
    <row r="46" spans="1:16" ht="26.25" x14ac:dyDescent="0.2">
      <c r="A46" s="48">
        <v>-1</v>
      </c>
      <c r="B46" s="73" t="s">
        <v>806</v>
      </c>
      <c r="C46" s="51" t="str">
        <f t="shared" si="0"/>
        <v>IX.</v>
      </c>
      <c r="D46" s="51">
        <v>3</v>
      </c>
      <c r="F46" s="68"/>
      <c r="G46" s="242"/>
      <c r="H46" s="239" t="s">
        <v>432</v>
      </c>
      <c r="I46" s="240"/>
      <c r="J46" s="247" t="str">
        <f>VLOOKUP(K46,'řádky V'!A:M,13,0)</f>
        <v>Výnosy z přecenění cenných papírů a derivátů</v>
      </c>
      <c r="K46" s="248">
        <v>39</v>
      </c>
      <c r="L46" s="249">
        <f>IF($D46=3,ROUND($A46*SUMIFS(DATA!$Y:$Y,DATA!$C:$C,INDEX!$C$12,DATA!$N:$N,$B46,DATA!$S:$S,$K46),0)+O46,IF($D46=2,SUMIFS(L:L,$D:$D,3,$C:$C,$C46),0))</f>
        <v>0</v>
      </c>
      <c r="M46" s="250">
        <f>IF($D46=3,ROUND($A46*SUMIFS(DATA!$Y:$Y,DATA!$C:$C,INDEX!$D$12,DATA!$N:$N,$B46,DATA!$S:$S,$K46),0)+P46,IF($D46=2,SUMIFS(M:M,$D:$D,3,$C:$C,$C46),0))</f>
        <v>0</v>
      </c>
      <c r="O46" s="137"/>
      <c r="P46" s="137"/>
    </row>
    <row r="47" spans="1:16" ht="26.25" x14ac:dyDescent="0.2">
      <c r="A47" s="48">
        <v>1</v>
      </c>
      <c r="B47" s="73" t="s">
        <v>804</v>
      </c>
      <c r="C47" s="51" t="str">
        <f t="shared" si="0"/>
        <v>L.</v>
      </c>
      <c r="D47" s="51">
        <v>3</v>
      </c>
      <c r="F47" s="68"/>
      <c r="G47" s="234" t="s">
        <v>433</v>
      </c>
      <c r="H47" s="235"/>
      <c r="I47" s="236"/>
      <c r="J47" s="208" t="str">
        <f>VLOOKUP(K47,'řádky V'!A:M,13,0)</f>
        <v>Náklady z přecenění cenných papírů a derivátů</v>
      </c>
      <c r="K47" s="209">
        <v>40</v>
      </c>
      <c r="L47" s="210">
        <f>IF($D47=3,ROUND($A47*SUMIFS(DATA!$Y:$Y,DATA!$C:$C,INDEX!$C$12,DATA!$N:$N,$B47,DATA!$S:$S,$K47),0)+O47,IF($D47=2,SUMIFS(L:L,$D:$D,3,$C:$C,$C47),0))</f>
        <v>0</v>
      </c>
      <c r="M47" s="211">
        <f>IF($D47=3,ROUND($A47*SUMIFS(DATA!$Y:$Y,DATA!$C:$C,INDEX!$D$12,DATA!$N:$N,$B47,DATA!$S:$S,$K47),0)+P47,IF($D47=2,SUMIFS(M:M,$D:$D,3,$C:$C,$C47),0))</f>
        <v>0</v>
      </c>
      <c r="O47" s="137"/>
      <c r="P47" s="137"/>
    </row>
    <row r="48" spans="1:16" ht="26.25" x14ac:dyDescent="0.2">
      <c r="A48" s="48">
        <v>1</v>
      </c>
      <c r="B48" s="73" t="s">
        <v>804</v>
      </c>
      <c r="C48" s="51" t="str">
        <f t="shared" si="0"/>
        <v>M.</v>
      </c>
      <c r="D48" s="51">
        <v>3</v>
      </c>
      <c r="F48" s="68"/>
      <c r="G48" s="242" t="s">
        <v>434</v>
      </c>
      <c r="H48" s="239"/>
      <c r="I48" s="240"/>
      <c r="J48" s="243" t="str">
        <f>VLOOKUP(K48,'řádky V'!A:M,13,0)</f>
        <v>Změna stavu rezerv a opravných položek ve finanční oblasti</v>
      </c>
      <c r="K48" s="244">
        <v>41</v>
      </c>
      <c r="L48" s="245">
        <f>IF($D48=3,ROUND($A48*SUMIFS(DATA!$Y:$Y,DATA!$C:$C,INDEX!$C$12,DATA!$N:$N,$B48,DATA!$S:$S,$K48),0)+O48,IF($D48=2,SUMIFS(L:L,$D:$D,3,$C:$C,$C48),0))</f>
        <v>0</v>
      </c>
      <c r="M48" s="246">
        <f>IF($D48=3,ROUND($A48*SUMIFS(DATA!$Y:$Y,DATA!$C:$C,INDEX!$D$12,DATA!$N:$N,$B48,DATA!$S:$S,$K48),0)+P48,IF($D48=2,SUMIFS(M:M,$D:$D,3,$C:$C,$C48),0))</f>
        <v>0</v>
      </c>
      <c r="O48" s="137"/>
      <c r="P48" s="137"/>
    </row>
    <row r="49" spans="1:16" ht="26.25" x14ac:dyDescent="0.2">
      <c r="A49" s="48">
        <v>-1</v>
      </c>
      <c r="B49" s="73" t="s">
        <v>806</v>
      </c>
      <c r="C49" s="51" t="str">
        <f t="shared" si="0"/>
        <v>X.</v>
      </c>
      <c r="D49" s="51">
        <v>3</v>
      </c>
      <c r="F49" s="68"/>
      <c r="G49" s="242"/>
      <c r="H49" s="239" t="s">
        <v>435</v>
      </c>
      <c r="I49" s="240"/>
      <c r="J49" s="247" t="str">
        <f>VLOOKUP(K49,'řádky V'!A:M,13,0)</f>
        <v>Výnosové úroky</v>
      </c>
      <c r="K49" s="248">
        <v>42</v>
      </c>
      <c r="L49" s="249">
        <f>IF($D49=3,ROUND($A49*SUMIFS(DATA!$Y:$Y,DATA!$C:$C,INDEX!$C$12,DATA!$N:$N,$B49,DATA!$S:$S,$K49),0)+O49,IF($D49=2,SUMIFS(L:L,$D:$D,3,$C:$C,$C49),0))</f>
        <v>0</v>
      </c>
      <c r="M49" s="250">
        <f>IF($D49=3,ROUND($A49*SUMIFS(DATA!$Y:$Y,DATA!$C:$C,INDEX!$D$12,DATA!$N:$N,$B49,DATA!$S:$S,$K49),0)+P49,IF($D49=2,SUMIFS(M:M,$D:$D,3,$C:$C,$C49),0))</f>
        <v>0</v>
      </c>
      <c r="O49" s="137"/>
      <c r="P49" s="137"/>
    </row>
    <row r="50" spans="1:16" ht="26.25" x14ac:dyDescent="0.2">
      <c r="A50" s="48">
        <v>1</v>
      </c>
      <c r="B50" s="73" t="s">
        <v>804</v>
      </c>
      <c r="C50" s="51" t="str">
        <f t="shared" si="0"/>
        <v>N.</v>
      </c>
      <c r="D50" s="51">
        <v>3</v>
      </c>
      <c r="F50" s="68"/>
      <c r="G50" s="234" t="s">
        <v>436</v>
      </c>
      <c r="H50" s="235"/>
      <c r="I50" s="236"/>
      <c r="J50" s="208" t="str">
        <f>VLOOKUP(K50,'řádky V'!A:M,13,0)</f>
        <v>Nákladové úroky</v>
      </c>
      <c r="K50" s="209">
        <v>43</v>
      </c>
      <c r="L50" s="210">
        <f>IF($D50=3,ROUND($A50*SUMIFS(DATA!$Y:$Y,DATA!$C:$C,INDEX!$C$12,DATA!$N:$N,$B50,DATA!$S:$S,$K50),0)+O50,IF($D50=2,SUMIFS(L:L,$D:$D,3,$C:$C,$C50),0))</f>
        <v>0</v>
      </c>
      <c r="M50" s="211">
        <f>IF($D50=3,ROUND($A50*SUMIFS(DATA!$Y:$Y,DATA!$C:$C,INDEX!$D$12,DATA!$N:$N,$B50,DATA!$S:$S,$K50),0)+P50,IF($D50=2,SUMIFS(M:M,$D:$D,3,$C:$C,$C50),0))</f>
        <v>0</v>
      </c>
      <c r="O50" s="137"/>
      <c r="P50" s="137"/>
    </row>
    <row r="51" spans="1:16" ht="26.25" x14ac:dyDescent="0.2">
      <c r="A51" s="48">
        <v>-1</v>
      </c>
      <c r="B51" s="73" t="s">
        <v>806</v>
      </c>
      <c r="C51" s="51" t="str">
        <f t="shared" si="0"/>
        <v>XI.</v>
      </c>
      <c r="D51" s="51">
        <v>3</v>
      </c>
      <c r="F51" s="68"/>
      <c r="G51" s="242"/>
      <c r="H51" s="239" t="s">
        <v>437</v>
      </c>
      <c r="I51" s="240"/>
      <c r="J51" s="247" t="str">
        <f>VLOOKUP(K51,'řádky V'!A:M,13,0)</f>
        <v>Ostatní finanční výnosy</v>
      </c>
      <c r="K51" s="248">
        <v>44</v>
      </c>
      <c r="L51" s="249">
        <f>IF($D51=3,ROUND($A51*SUMIFS(DATA!$Y:$Y,DATA!$C:$C,INDEX!$C$12,DATA!$N:$N,$B51,DATA!$S:$S,$K51),0)+O51,IF($D51=2,SUMIFS(L:L,$D:$D,3,$C:$C,$C51),0))</f>
        <v>0</v>
      </c>
      <c r="M51" s="250">
        <f>IF($D51=3,ROUND($A51*SUMIFS(DATA!$Y:$Y,DATA!$C:$C,INDEX!$D$12,DATA!$N:$N,$B51,DATA!$S:$S,$K51),0)+P51,IF($D51=2,SUMIFS(M:M,$D:$D,3,$C:$C,$C51),0))</f>
        <v>0</v>
      </c>
      <c r="O51" s="137"/>
      <c r="P51" s="137"/>
    </row>
    <row r="52" spans="1:16" ht="26.25" x14ac:dyDescent="0.2">
      <c r="A52" s="48">
        <v>1</v>
      </c>
      <c r="B52" s="73" t="s">
        <v>804</v>
      </c>
      <c r="C52" s="51" t="str">
        <f t="shared" si="0"/>
        <v>O.</v>
      </c>
      <c r="D52" s="51">
        <v>3</v>
      </c>
      <c r="F52" s="68"/>
      <c r="G52" s="234" t="s">
        <v>438</v>
      </c>
      <c r="H52" s="235"/>
      <c r="I52" s="236"/>
      <c r="J52" s="208" t="str">
        <f>VLOOKUP(K52,'řádky V'!A:M,13,0)</f>
        <v>Ostatní finanční náklady</v>
      </c>
      <c r="K52" s="209">
        <v>45</v>
      </c>
      <c r="L52" s="210">
        <f>IF($D52=3,ROUND($A52*SUMIFS(DATA!$Y:$Y,DATA!$C:$C,INDEX!$C$12,DATA!$N:$N,$B52,DATA!$S:$S,$K52),0)+O52,IF($D52=2,SUMIFS(L:L,$D:$D,3,$C:$C,$C52),0))</f>
        <v>0</v>
      </c>
      <c r="M52" s="211">
        <f>IF($D52=3,ROUND($A52*SUMIFS(DATA!$Y:$Y,DATA!$C:$C,INDEX!$D$12,DATA!$N:$N,$B52,DATA!$S:$S,$K52),0)+P52,IF($D52=2,SUMIFS(M:M,$D:$D,3,$C:$C,$C52),0))</f>
        <v>0</v>
      </c>
      <c r="O52" s="137"/>
      <c r="P52" s="137"/>
    </row>
    <row r="53" spans="1:16" ht="26.25" x14ac:dyDescent="0.2">
      <c r="A53" s="48">
        <v>-1</v>
      </c>
      <c r="B53" s="73" t="s">
        <v>806</v>
      </c>
      <c r="C53" s="51" t="str">
        <f t="shared" si="0"/>
        <v>XII.</v>
      </c>
      <c r="D53" s="51">
        <v>3</v>
      </c>
      <c r="F53" s="68"/>
      <c r="G53" s="242"/>
      <c r="H53" s="239" t="s">
        <v>439</v>
      </c>
      <c r="I53" s="240"/>
      <c r="J53" s="247" t="str">
        <f>VLOOKUP(K53,'řádky V'!A:M,13,0)</f>
        <v>Převod finančních výnosů</v>
      </c>
      <c r="K53" s="248">
        <v>46</v>
      </c>
      <c r="L53" s="249">
        <f>IF($D53=3,ROUND($A53*SUMIFS(DATA!$Y:$Y,DATA!$C:$C,INDEX!$C$12,DATA!$N:$N,$B53,DATA!$S:$S,$K53),0)+O53,IF($D53=2,SUMIFS(L:L,$D:$D,3,$C:$C,$C53),0))</f>
        <v>0</v>
      </c>
      <c r="M53" s="250">
        <f>IF($D53=3,ROUND($A53*SUMIFS(DATA!$Y:$Y,DATA!$C:$C,INDEX!$D$12,DATA!$N:$N,$B53,DATA!$S:$S,$K53),0)+P53,IF($D53=2,SUMIFS(M:M,$D:$D,3,$C:$C,$C53),0))</f>
        <v>0</v>
      </c>
      <c r="O53" s="137"/>
      <c r="P53" s="137"/>
    </row>
    <row r="54" spans="1:16" ht="26.25" x14ac:dyDescent="0.2">
      <c r="A54" s="48">
        <v>1</v>
      </c>
      <c r="B54" s="73" t="s">
        <v>804</v>
      </c>
      <c r="C54" s="51" t="str">
        <f t="shared" si="0"/>
        <v>P.</v>
      </c>
      <c r="D54" s="51">
        <v>3</v>
      </c>
      <c r="F54" s="68"/>
      <c r="G54" s="234" t="s">
        <v>440</v>
      </c>
      <c r="H54" s="235"/>
      <c r="I54" s="236"/>
      <c r="J54" s="208" t="str">
        <f>VLOOKUP(K54,'řádky V'!A:M,13,0)</f>
        <v>Převod finančních nákladů</v>
      </c>
      <c r="K54" s="209">
        <v>47</v>
      </c>
      <c r="L54" s="210">
        <f>IF($D54=3,ROUND($A54*SUMIFS(DATA!$Y:$Y,DATA!$C:$C,INDEX!$C$12,DATA!$N:$N,$B54,DATA!$S:$S,$K54),0)+O54,IF($D54=2,SUMIFS(L:L,$D:$D,3,$C:$C,$C54),0))</f>
        <v>0</v>
      </c>
      <c r="M54" s="211">
        <f>IF($D54=3,ROUND($A54*SUMIFS(DATA!$Y:$Y,DATA!$C:$C,INDEX!$D$12,DATA!$N:$N,$B54,DATA!$S:$S,$K54),0)+P54,IF($D54=2,SUMIFS(M:M,$D:$D,3,$C:$C,$C54),0))</f>
        <v>0</v>
      </c>
      <c r="O54" s="137"/>
      <c r="P54" s="137"/>
    </row>
    <row r="55" spans="1:16" ht="27" thickBot="1" x14ac:dyDescent="0.25">
      <c r="C55" s="51" t="str">
        <f t="shared" si="0"/>
        <v>*</v>
      </c>
      <c r="F55" s="68"/>
      <c r="G55" s="399"/>
      <c r="H55" s="396" t="s">
        <v>307</v>
      </c>
      <c r="I55" s="397"/>
      <c r="J55" s="179" t="str">
        <f>VLOOKUP(K55,'řádky V'!A:M,13,0)</f>
        <v>Finanční výsledek hospodaření 
(ř. 31 - 32 + 33 + 37 - 38 + 39 - 40 - 41 + 42 - 43 + 44 - 45 -(-46) +(-47))</v>
      </c>
      <c r="K55" s="398">
        <v>48</v>
      </c>
      <c r="L55" s="180">
        <f>L38-L39+L40+L44-L45+L46-L47-L48+L49-L50+L51-L52+L53-L54</f>
        <v>0</v>
      </c>
      <c r="M55" s="181">
        <f>M38-M39+M40+M44-M45+M46-M47-M48+M49-M50+M51-M52+M53-M54</f>
        <v>0</v>
      </c>
    </row>
    <row r="56" spans="1:16" ht="26.25" x14ac:dyDescent="0.2">
      <c r="C56" s="51" t="str">
        <f t="shared" si="0"/>
        <v>Q.</v>
      </c>
      <c r="D56" s="51">
        <v>2</v>
      </c>
      <c r="F56" s="68"/>
      <c r="G56" s="238" t="s">
        <v>442</v>
      </c>
      <c r="H56" s="251"/>
      <c r="I56" s="252"/>
      <c r="J56" s="202" t="str">
        <f>VLOOKUP(K56,'řádky V'!A:M,13,0)</f>
        <v>Daň z příjmů za běžnou činnost   (ř. 50 + 51)</v>
      </c>
      <c r="K56" s="203">
        <v>49</v>
      </c>
      <c r="L56" s="186">
        <f>IF($D56=3,ROUND($A56*SUMIFS(DATA!$Y:$Y,DATA!$C:$C,INDEX!$C$12,DATA!$N:$N,$B56,DATA!$S:$S,$K56),0)+O56,IF($D56=2,SUMIFS(L:L,$D:$D,3,$C:$C,$C56),0))</f>
        <v>0</v>
      </c>
      <c r="M56" s="204">
        <f>IF($D56=3,ROUND($A56*SUMIFS(DATA!$Y:$Y,DATA!$C:$C,INDEX!$D$12,DATA!$N:$N,$B56,DATA!$S:$S,$K56),0)+P56,IF($D56=2,SUMIFS(M:M,$D:$D,3,$C:$C,$C56),0))</f>
        <v>0</v>
      </c>
    </row>
    <row r="57" spans="1:16" ht="26.25" x14ac:dyDescent="0.2">
      <c r="A57" s="48">
        <v>1</v>
      </c>
      <c r="B57" s="73" t="s">
        <v>804</v>
      </c>
      <c r="C57" s="51" t="str">
        <f t="shared" si="0"/>
        <v>Q.</v>
      </c>
      <c r="D57" s="51">
        <v>3</v>
      </c>
      <c r="F57" s="68"/>
      <c r="G57" s="234" t="s">
        <v>442</v>
      </c>
      <c r="H57" s="235"/>
      <c r="I57" s="253" t="s">
        <v>277</v>
      </c>
      <c r="J57" s="247" t="str">
        <f>VLOOKUP(K57,'řádky V'!A:M,13,0)</f>
        <v xml:space="preserve">     - splatná</v>
      </c>
      <c r="K57" s="248">
        <v>50</v>
      </c>
      <c r="L57" s="249">
        <f>IF($D57=3,ROUND($A57*SUMIFS(DATA!$Y:$Y,DATA!$C:$C,INDEX!$C$12,DATA!$N:$N,$B57,DATA!$S:$S,$K57),0)+O57,IF($D57=2,SUMIFS(L:L,$D:$D,3,$C:$C,$C57),0))</f>
        <v>0</v>
      </c>
      <c r="M57" s="250">
        <f>IF($D57=3,ROUND($A57*SUMIFS(DATA!$Y:$Y,DATA!$C:$C,INDEX!$D$12,DATA!$N:$N,$B57,DATA!$S:$S,$K57),0)+P57,IF($D57=2,SUMIFS(M:M,$D:$D,3,$C:$C,$C57),0))</f>
        <v>0</v>
      </c>
      <c r="O57" s="137"/>
      <c r="P57" s="137"/>
    </row>
    <row r="58" spans="1:16" ht="26.25" x14ac:dyDescent="0.2">
      <c r="A58" s="48">
        <v>1</v>
      </c>
      <c r="B58" s="73" t="s">
        <v>804</v>
      </c>
      <c r="C58" s="51" t="str">
        <f t="shared" si="0"/>
        <v>Q.</v>
      </c>
      <c r="D58" s="51">
        <v>3</v>
      </c>
      <c r="F58" s="68"/>
      <c r="G58" s="234" t="s">
        <v>442</v>
      </c>
      <c r="H58" s="235"/>
      <c r="I58" s="236" t="s">
        <v>278</v>
      </c>
      <c r="J58" s="208" t="str">
        <f>VLOOKUP(K58,'řádky V'!A:M,13,0)</f>
        <v xml:space="preserve">     - odložená</v>
      </c>
      <c r="K58" s="209">
        <v>51</v>
      </c>
      <c r="L58" s="210">
        <f>IF($D58=3,ROUND($A58*SUMIFS(DATA!$Y:$Y,DATA!$C:$C,INDEX!$C$12,DATA!$N:$N,$B58,DATA!$S:$S,$K58),0)+O58,IF($D58=2,SUMIFS(L:L,$D:$D,3,$C:$C,$C58),0))</f>
        <v>0</v>
      </c>
      <c r="M58" s="211">
        <f>IF($D58=3,ROUND($A58*SUMIFS(DATA!$Y:$Y,DATA!$C:$C,INDEX!$D$12,DATA!$N:$N,$B58,DATA!$S:$S,$K58),0)+P58,IF($D58=2,SUMIFS(M:M,$D:$D,3,$C:$C,$C58),0))</f>
        <v>0</v>
      </c>
      <c r="O58" s="137"/>
      <c r="P58" s="137"/>
    </row>
    <row r="59" spans="1:16" ht="27" thickBot="1" x14ac:dyDescent="0.25">
      <c r="C59" s="51" t="str">
        <f t="shared" si="0"/>
        <v>**</v>
      </c>
      <c r="F59" s="68"/>
      <c r="G59" s="399"/>
      <c r="H59" s="396" t="s">
        <v>447</v>
      </c>
      <c r="I59" s="397"/>
      <c r="J59" s="179" t="str">
        <f>VLOOKUP(K59,'řádky V'!A:M,13,0)</f>
        <v>Výsledek hospodaření za běžnou činnost  (ř. 30 + 48 - 49)</v>
      </c>
      <c r="K59" s="398">
        <v>52</v>
      </c>
      <c r="L59" s="180">
        <f>L37+L55-L56</f>
        <v>0</v>
      </c>
      <c r="M59" s="181">
        <f>M37+M55-M56</f>
        <v>0</v>
      </c>
    </row>
    <row r="60" spans="1:16" ht="26.25" x14ac:dyDescent="0.2">
      <c r="A60" s="48">
        <v>-1</v>
      </c>
      <c r="B60" s="73" t="s">
        <v>806</v>
      </c>
      <c r="C60" s="51" t="str">
        <f t="shared" si="0"/>
        <v>XIII.</v>
      </c>
      <c r="D60" s="51">
        <v>3</v>
      </c>
      <c r="F60" s="68"/>
      <c r="G60" s="242"/>
      <c r="H60" s="239" t="s">
        <v>445</v>
      </c>
      <c r="I60" s="240"/>
      <c r="J60" s="247" t="str">
        <f>VLOOKUP(K60,'řádky V'!A:M,13,0)</f>
        <v>Mimořádné výnosy</v>
      </c>
      <c r="K60" s="248">
        <v>53</v>
      </c>
      <c r="L60" s="249">
        <f>IF($D60=3,ROUND($A60*SUMIFS(DATA!$Y:$Y,DATA!$C:$C,INDEX!$C$12,DATA!$N:$N,$B60,DATA!$S:$S,$K60),0)+O60,IF($D60=2,SUMIFS(L:L,$D:$D,3,$C:$C,$C60),0))</f>
        <v>0</v>
      </c>
      <c r="M60" s="250">
        <f>IF($D60=3,ROUND($A60*SUMIFS(DATA!$Y:$Y,DATA!$C:$C,INDEX!$D$12,DATA!$N:$N,$B60,DATA!$S:$S,$K60),0)+P60,IF($D60=2,SUMIFS(M:M,$D:$D,3,$C:$C,$C60),0))</f>
        <v>0</v>
      </c>
      <c r="O60" s="137"/>
      <c r="P60" s="137"/>
    </row>
    <row r="61" spans="1:16" ht="26.25" x14ac:dyDescent="0.2">
      <c r="A61" s="48">
        <v>1</v>
      </c>
      <c r="B61" s="73" t="s">
        <v>804</v>
      </c>
      <c r="C61" s="51" t="str">
        <f t="shared" si="0"/>
        <v>R.</v>
      </c>
      <c r="D61" s="51">
        <v>3</v>
      </c>
      <c r="F61" s="68"/>
      <c r="G61" s="234" t="s">
        <v>441</v>
      </c>
      <c r="H61" s="235"/>
      <c r="I61" s="236"/>
      <c r="J61" s="208" t="str">
        <f>VLOOKUP(K61,'řádky V'!A:M,13,0)</f>
        <v>Mimořádné náklady</v>
      </c>
      <c r="K61" s="209">
        <v>54</v>
      </c>
      <c r="L61" s="210">
        <f>IF($D61=3,ROUND($A61*SUMIFS(DATA!$Y:$Y,DATA!$C:$C,INDEX!$C$12,DATA!$N:$N,$B61,DATA!$S:$S,$K61),0)+O61,IF($D61=2,SUMIFS(L:L,$D:$D,3,$C:$C,$C61),0))</f>
        <v>0</v>
      </c>
      <c r="M61" s="211">
        <f>IF($D61=3,ROUND($A61*SUMIFS(DATA!$Y:$Y,DATA!$C:$C,INDEX!$D$12,DATA!$N:$N,$B61,DATA!$S:$S,$K61),0)+P61,IF($D61=2,SUMIFS(M:M,$D:$D,3,$C:$C,$C61),0))</f>
        <v>0</v>
      </c>
      <c r="O61" s="137"/>
      <c r="P61" s="137"/>
    </row>
    <row r="62" spans="1:16" ht="26.25" x14ac:dyDescent="0.2">
      <c r="C62" s="51" t="str">
        <f t="shared" si="0"/>
        <v>S.</v>
      </c>
      <c r="D62" s="51">
        <v>2</v>
      </c>
      <c r="F62" s="68"/>
      <c r="G62" s="238" t="s">
        <v>443</v>
      </c>
      <c r="H62" s="251"/>
      <c r="I62" s="252"/>
      <c r="J62" s="202" t="str">
        <f>VLOOKUP(K62,'řádky V'!A:M,13,0)</f>
        <v>Daň z příjmů z mimořádné činnosti  (ř. 56 + 57)</v>
      </c>
      <c r="K62" s="203">
        <v>55</v>
      </c>
      <c r="L62" s="186">
        <f>IF($D62=3,ROUND($A62*SUMIFS(DATA!$Y:$Y,DATA!$C:$C,INDEX!$C$12,DATA!$N:$N,$B62,DATA!$S:$S,$K62),0)+O62,IF($D62=2,SUMIFS(L:L,$D:$D,3,$C:$C,$C62),0))</f>
        <v>0</v>
      </c>
      <c r="M62" s="204">
        <f>IF($D62=3,ROUND($A62*SUMIFS(DATA!$Y:$Y,DATA!$C:$C,INDEX!$D$12,DATA!$N:$N,$B62,DATA!$S:$S,$K62),0)+P62,IF($D62=2,SUMIFS(M:M,$D:$D,3,$C:$C,$C62),0))</f>
        <v>0</v>
      </c>
    </row>
    <row r="63" spans="1:16" ht="26.25" x14ac:dyDescent="0.2">
      <c r="A63" s="48">
        <v>1</v>
      </c>
      <c r="B63" s="73" t="s">
        <v>804</v>
      </c>
      <c r="C63" s="51" t="str">
        <f t="shared" si="0"/>
        <v>S.</v>
      </c>
      <c r="D63" s="51">
        <v>3</v>
      </c>
      <c r="F63" s="68"/>
      <c r="G63" s="234" t="s">
        <v>443</v>
      </c>
      <c r="H63" s="235"/>
      <c r="I63" s="253" t="s">
        <v>277</v>
      </c>
      <c r="J63" s="247" t="str">
        <f>VLOOKUP(K63,'řádky V'!A:M,13,0)</f>
        <v xml:space="preserve">     - splatná</v>
      </c>
      <c r="K63" s="248">
        <v>56</v>
      </c>
      <c r="L63" s="249">
        <f>IF($D63=3,ROUND($A63*SUMIFS(DATA!$Y:$Y,DATA!$C:$C,INDEX!$C$12,DATA!$N:$N,$B63,DATA!$S:$S,$K63),0)+O63,IF($D63=2,SUMIFS(L:L,$D:$D,3,$C:$C,$C63),0))</f>
        <v>0</v>
      </c>
      <c r="M63" s="250">
        <f>IF($D63=3,ROUND($A63*SUMIFS(DATA!$Y:$Y,DATA!$C:$C,INDEX!$D$12,DATA!$N:$N,$B63,DATA!$S:$S,$K63),0)+P63,IF($D63=2,SUMIFS(M:M,$D:$D,3,$C:$C,$C63),0))</f>
        <v>0</v>
      </c>
      <c r="O63" s="137"/>
      <c r="P63" s="137"/>
    </row>
    <row r="64" spans="1:16" ht="26.25" x14ac:dyDescent="0.2">
      <c r="A64" s="48">
        <v>1</v>
      </c>
      <c r="B64" s="73" t="s">
        <v>804</v>
      </c>
      <c r="C64" s="51" t="str">
        <f t="shared" si="0"/>
        <v>S.</v>
      </c>
      <c r="D64" s="51">
        <v>3</v>
      </c>
      <c r="F64" s="68"/>
      <c r="G64" s="234" t="s">
        <v>443</v>
      </c>
      <c r="H64" s="235"/>
      <c r="I64" s="236" t="s">
        <v>278</v>
      </c>
      <c r="J64" s="208" t="str">
        <f>VLOOKUP(K64,'řádky V'!A:M,13,0)</f>
        <v xml:space="preserve">     - odložená</v>
      </c>
      <c r="K64" s="209">
        <v>57</v>
      </c>
      <c r="L64" s="210">
        <f>IF($D64=3,ROUND($A64*SUMIFS(DATA!$Y:$Y,DATA!$C:$C,INDEX!$C$12,DATA!$N:$N,$B64,DATA!$S:$S,$K64),0)+O64,IF($D64=2,SUMIFS(L:L,$D:$D,3,$C:$C,$C64),0))</f>
        <v>0</v>
      </c>
      <c r="M64" s="211">
        <f>IF($D64=3,ROUND($A64*SUMIFS(DATA!$Y:$Y,DATA!$C:$C,INDEX!$D$12,DATA!$N:$N,$B64,DATA!$S:$S,$K64),0)+P64,IF($D64=2,SUMIFS(M:M,$D:$D,3,$C:$C,$C64),0))</f>
        <v>0</v>
      </c>
      <c r="N64" s="418" t="s">
        <v>920</v>
      </c>
      <c r="O64" s="137"/>
      <c r="P64" s="137"/>
    </row>
    <row r="65" spans="1:16" ht="27" customHeight="1" thickBot="1" x14ac:dyDescent="0.25">
      <c r="C65" s="51" t="str">
        <f t="shared" si="0"/>
        <v>*</v>
      </c>
      <c r="F65" s="68"/>
      <c r="G65" s="399"/>
      <c r="H65" s="396" t="s">
        <v>307</v>
      </c>
      <c r="I65" s="397"/>
      <c r="J65" s="179" t="str">
        <f>VLOOKUP(K65,'řádky V'!A:M,13,0)</f>
        <v>Mimořádný výsledek hospodaření (ř. 53 - 54 -55 )</v>
      </c>
      <c r="K65" s="398">
        <v>58</v>
      </c>
      <c r="L65" s="180">
        <f>L60-L61-L62</f>
        <v>0</v>
      </c>
      <c r="M65" s="181">
        <f>M60-M61-M62</f>
        <v>0</v>
      </c>
      <c r="N65" s="418"/>
    </row>
    <row r="66" spans="1:16" ht="26.25" x14ac:dyDescent="0.2">
      <c r="A66" s="48">
        <v>1</v>
      </c>
      <c r="B66" s="73" t="s">
        <v>804</v>
      </c>
      <c r="C66" s="51" t="str">
        <f t="shared" si="0"/>
        <v>T.</v>
      </c>
      <c r="D66" s="51">
        <v>3</v>
      </c>
      <c r="F66" s="68"/>
      <c r="G66" s="242" t="s">
        <v>444</v>
      </c>
      <c r="H66" s="239"/>
      <c r="I66" s="240"/>
      <c r="J66" s="247" t="str">
        <f>VLOOKUP(K66,'řádky V'!A:M,13,0)</f>
        <v>Převod podílu na výsledku hospodaření společníkům (+/-)</v>
      </c>
      <c r="K66" s="248">
        <v>59</v>
      </c>
      <c r="L66" s="249">
        <f>IF($D66=3,ROUND($A66*SUMIFS(DATA!$Y:$Y,DATA!$C:$C,INDEX!$C$12,DATA!$N:$N,$B66,DATA!$S:$S,$K66),0)+O66,IF($D66=2,SUMIFS(L:L,$D:$D,3,$C:$C,$C66),0))</f>
        <v>0</v>
      </c>
      <c r="M66" s="250">
        <f>IF($D66=3,ROUND($A66*SUMIFS(DATA!$Y:$Y,DATA!$C:$C,INDEX!$D$12,DATA!$N:$N,$B66,DATA!$S:$S,$K66),0)+P66,IF($D66=2,SUMIFS(M:M,$D:$D,3,$C:$C,$C66),0))</f>
        <v>0</v>
      </c>
      <c r="N66" s="418"/>
      <c r="O66" s="137"/>
      <c r="P66" s="137"/>
    </row>
    <row r="67" spans="1:16" ht="27" thickBot="1" x14ac:dyDescent="0.25">
      <c r="F67" s="68"/>
      <c r="G67" s="399"/>
      <c r="H67" s="396" t="s">
        <v>448</v>
      </c>
      <c r="I67" s="397"/>
      <c r="J67" s="179" t="str">
        <f>VLOOKUP(K67,'řádky V'!A:M,13,0)</f>
        <v>Výsledek hospodaření za účetní období (+/-)  (ř. 52 + 58 - 59)</v>
      </c>
      <c r="K67" s="398">
        <v>60</v>
      </c>
      <c r="L67" s="180">
        <f>L59+L65-L66</f>
        <v>0</v>
      </c>
      <c r="M67" s="181">
        <f>M59+M65-M66</f>
        <v>0</v>
      </c>
      <c r="N67" s="418"/>
    </row>
    <row r="68" spans="1:16" ht="27" thickBot="1" x14ac:dyDescent="0.25">
      <c r="F68" s="68"/>
      <c r="G68" s="399"/>
      <c r="H68" s="396" t="s">
        <v>449</v>
      </c>
      <c r="I68" s="397"/>
      <c r="J68" s="179" t="str">
        <f>VLOOKUP(K68,'řádky V'!A:M,13,0)</f>
        <v>Výsledek hospodaření  před zdaněním (+/-)  (ř. 30 + 48 + 53 - 54)</v>
      </c>
      <c r="K68" s="398">
        <v>61</v>
      </c>
      <c r="L68" s="180">
        <f>L37+L55+L60-L61</f>
        <v>0</v>
      </c>
      <c r="M68" s="181">
        <f>M37+M55+M60-M61</f>
        <v>0</v>
      </c>
      <c r="N68" s="418"/>
    </row>
  </sheetData>
  <sheetProtection password="DD47" sheet="1" objects="1" scenarios="1"/>
  <mergeCells count="5">
    <mergeCell ref="N64:N68"/>
    <mergeCell ref="G5:I5"/>
    <mergeCell ref="G7:I7"/>
    <mergeCell ref="L5:M5"/>
    <mergeCell ref="N33:N37"/>
  </mergeCells>
  <conditionalFormatting sqref="O7:P7">
    <cfRule type="cellIs" dxfId="68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8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37" min="6" max="1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showGridLines="0" showRowColHeaders="0" showZeros="0" topLeftCell="F1" zoomScale="80" zoomScaleNormal="80" workbookViewId="0">
      <pane ySplit="7" topLeftCell="A8" activePane="bottomLeft" state="frozen"/>
      <selection activeCell="C4" sqref="C4"/>
      <selection pane="bottomLeft" activeCell="G5" sqref="G5:I5"/>
    </sheetView>
  </sheetViews>
  <sheetFormatPr defaultColWidth="0" defaultRowHeight="26.25" x14ac:dyDescent="0.2"/>
  <cols>
    <col min="1" max="1" width="2.28515625" style="51" hidden="1" customWidth="1"/>
    <col min="2" max="2" width="6.42578125" style="73" hidden="1" customWidth="1"/>
    <col min="3" max="3" width="3" style="51" hidden="1" customWidth="1"/>
    <col min="4" max="4" width="3.42578125" style="51" hidden="1" customWidth="1"/>
    <col min="5" max="5" width="2.28515625" style="51" hidden="1" customWidth="1"/>
    <col min="6" max="6" width="2.7109375" style="68" customWidth="1"/>
    <col min="7" max="9" width="2.85546875" style="323" customWidth="1"/>
    <col min="10" max="10" width="48.7109375" style="323" customWidth="1"/>
    <col min="11" max="11" width="6.42578125" style="323" customWidth="1"/>
    <col min="12" max="15" width="18.7109375" style="323" customWidth="1"/>
    <col min="16" max="16" width="2.7109375" style="17" customWidth="1"/>
    <col min="17" max="17" width="4.85546875" style="64" bestFit="1" customWidth="1"/>
    <col min="18" max="18" width="5.5703125" style="64" bestFit="1" customWidth="1"/>
    <col min="19" max="16384" width="9.140625" style="14" hidden="1"/>
  </cols>
  <sheetData>
    <row r="1" spans="1:18" s="132" customFormat="1" x14ac:dyDescent="0.4">
      <c r="A1" s="85"/>
      <c r="B1" s="86"/>
      <c r="C1" s="85"/>
      <c r="D1" s="85"/>
      <c r="E1" s="85"/>
      <c r="F1" s="327"/>
      <c r="G1" s="328" t="str">
        <f>IF(jazyk="česky","ROZVAHA v plném rozsahu",IF(jazyk="anglicky","BALANCE SHEET in full format",IF(jazyk="německy","BILANZ in vollständiger Fassung","-")))</f>
        <v>ROZVAHA v plném rozsahu</v>
      </c>
      <c r="H1" s="139"/>
      <c r="I1" s="139"/>
      <c r="J1" s="139"/>
      <c r="K1" s="140"/>
      <c r="L1" s="140"/>
      <c r="M1" s="140"/>
      <c r="N1" s="329"/>
      <c r="O1" s="330">
        <f>INDEX!C6</f>
        <v>0</v>
      </c>
      <c r="P1" s="331"/>
      <c r="Q1" s="332"/>
      <c r="R1" s="332"/>
    </row>
    <row r="2" spans="1:18" s="87" customFormat="1" ht="15.75" x14ac:dyDescent="0.2">
      <c r="A2" s="85"/>
      <c r="B2" s="86"/>
      <c r="C2" s="85"/>
      <c r="D2" s="85"/>
      <c r="E2" s="85"/>
      <c r="F2" s="92"/>
      <c r="G2" s="141" t="str">
        <f>CONCATENATE(IF(jazyk="česky","ke dni",IF(jazyk="anglicky","as at",IF(jazyk="německy","zum","-"))),"   ",DAY(INDEX!C12),".",MONTH(INDEX!C12),".",YEAR(INDEX!C12))</f>
        <v>ke dni   0.1.1900</v>
      </c>
      <c r="H2" s="144"/>
      <c r="I2" s="144"/>
      <c r="J2" s="144"/>
      <c r="K2" s="147"/>
      <c r="L2" s="147"/>
      <c r="M2" s="144"/>
      <c r="N2" s="144"/>
      <c r="O2" s="145">
        <f>INDEX!C8</f>
        <v>0</v>
      </c>
      <c r="P2" s="88"/>
      <c r="Q2" s="89"/>
      <c r="R2" s="89"/>
    </row>
    <row r="3" spans="1:18" s="87" customFormat="1" ht="15.75" x14ac:dyDescent="0.2">
      <c r="A3" s="85"/>
      <c r="B3" s="86"/>
      <c r="C3" s="85"/>
      <c r="D3" s="85"/>
      <c r="E3" s="85"/>
      <c r="F3" s="92"/>
      <c r="G3" s="146" t="str">
        <f>CONCATENATE("(",VLOOKUP(zaokr,INDEX!H17:I19,2,0),")")</f>
        <v>(v celých Kč)</v>
      </c>
      <c r="H3" s="144"/>
      <c r="I3" s="144"/>
      <c r="J3" s="144"/>
      <c r="K3" s="147"/>
      <c r="L3" s="147"/>
      <c r="M3" s="144"/>
      <c r="N3" s="148" t="s">
        <v>354</v>
      </c>
      <c r="O3" s="145">
        <f>INDEX!C4</f>
        <v>0</v>
      </c>
      <c r="P3" s="88"/>
      <c r="Q3" s="89"/>
      <c r="R3" s="89"/>
    </row>
    <row r="4" spans="1:18" s="87" customFormat="1" ht="24" thickBot="1" x14ac:dyDescent="0.25">
      <c r="A4" s="85"/>
      <c r="B4" s="86"/>
      <c r="C4" s="85"/>
      <c r="D4" s="85"/>
      <c r="E4" s="85"/>
      <c r="F4" s="91"/>
      <c r="G4" s="144"/>
      <c r="H4" s="144"/>
      <c r="I4" s="144"/>
      <c r="J4" s="144"/>
      <c r="K4" s="147"/>
      <c r="L4" s="257" t="s">
        <v>290</v>
      </c>
      <c r="M4" s="257" t="s">
        <v>292</v>
      </c>
      <c r="N4" s="257" t="s">
        <v>295</v>
      </c>
      <c r="O4" s="258"/>
      <c r="P4" s="88"/>
      <c r="Q4" s="89"/>
      <c r="R4" s="89"/>
    </row>
    <row r="5" spans="1:18" ht="23.25" x14ac:dyDescent="0.25">
      <c r="B5" s="73" t="s">
        <v>807</v>
      </c>
      <c r="F5" s="40"/>
      <c r="G5" s="419" t="str">
        <f>IF(jazyk="česky","Označení",IF(jazyk="anglicky","Ident.",IF(jazyk="německy","Ident.","-")))</f>
        <v>Označení</v>
      </c>
      <c r="H5" s="420"/>
      <c r="I5" s="421"/>
      <c r="J5" s="152" t="str">
        <f>IF(jazyk="česky","AKTIVA",IF(jazyk="anglicky","ASSETS",IF(jazyk="německy","AKTIVA","-")))</f>
        <v>AKTIVA</v>
      </c>
      <c r="K5" s="153" t="str">
        <f>IF(jazyk="česky","Číslo",IF(jazyk="anglicky"," ",IF(jazyk="německy"," ","-")))</f>
        <v>Číslo</v>
      </c>
      <c r="L5" s="425" t="str">
        <f>IF(jazyk="česky","Běžné účetní období",IF(jazyk="anglicky","Current period",IF(jazyk="německy","Laufende Periode","-")))</f>
        <v>Běžné účetní období</v>
      </c>
      <c r="M5" s="430"/>
      <c r="N5" s="431"/>
      <c r="O5" s="259" t="str">
        <f>IF(jazyk="česky","Minulé účetní období",IF(jazyk="anglicky","Prior period",IF(jazyk="německy","Vorjahr","-")))</f>
        <v>Minulé účetní období</v>
      </c>
      <c r="P5" s="14"/>
      <c r="Q5" s="324">
        <f>ROUND(SUMIFS(DATA!$Y:$Y,DATA!$C:$C,INDEX!$C$12,DATA!$N:$N,$B5),0)-SUMIF($I:$I,"-",L:L)-SUMIF($I:$I,"-",M:M)+SUM(Q8:Q73)</f>
        <v>0</v>
      </c>
      <c r="R5" s="324">
        <f>ROUND($A72*SUMIFS(DATA!$Y:$Y,DATA!$C:$C,INDEX!$D$12,DATA!$N:$N,$B5),0)-O8++SUM(R8:R73)</f>
        <v>0</v>
      </c>
    </row>
    <row r="6" spans="1:18" ht="12.75" customHeight="1" x14ac:dyDescent="0.2">
      <c r="F6" s="40"/>
      <c r="G6" s="154"/>
      <c r="H6" s="155"/>
      <c r="I6" s="156"/>
      <c r="J6" s="157"/>
      <c r="K6" s="158" t="str">
        <f>IF(jazyk="česky","řádku",IF(jazyk="anglicky","Line",IF(jazyk="německy","Zeile","-")))</f>
        <v>řádku</v>
      </c>
      <c r="L6" s="260" t="str">
        <f>IF(jazyk="česky","Brutto",IF(jazyk="anglicky","Gross",IF(jazyk="německy","Brutto","-")))</f>
        <v>Brutto</v>
      </c>
      <c r="M6" s="261" t="str">
        <f>IF(jazyk="česky","Korekce",IF(jazyk="anglicky","Adjustments",IF(jazyk="německy","Korrekturen","-")))</f>
        <v>Korekce</v>
      </c>
      <c r="N6" s="262" t="str">
        <f>IF(jazyk="česky","Netto",IF(jazyk="anglicky","Net",IF(jazyk="německy","Netto","-")))</f>
        <v>Netto</v>
      </c>
      <c r="O6" s="263" t="str">
        <f>IF(jazyk="česky","Netto",IF(jazyk="anglicky","Net",IF(jazyk="německy","Netto","-")))</f>
        <v>Netto</v>
      </c>
      <c r="P6" s="14"/>
      <c r="Q6" s="325" t="s">
        <v>466</v>
      </c>
      <c r="R6" s="325" t="s">
        <v>467</v>
      </c>
    </row>
    <row r="7" spans="1:18" ht="13.5" customHeight="1" thickBot="1" x14ac:dyDescent="0.25">
      <c r="B7" s="73" t="s">
        <v>807</v>
      </c>
      <c r="F7" s="40"/>
      <c r="G7" s="427" t="s">
        <v>294</v>
      </c>
      <c r="H7" s="428"/>
      <c r="I7" s="429"/>
      <c r="J7" s="264" t="s">
        <v>272</v>
      </c>
      <c r="K7" s="265" t="s">
        <v>273</v>
      </c>
      <c r="L7" s="260">
        <v>1</v>
      </c>
      <c r="M7" s="261">
        <v>2</v>
      </c>
      <c r="N7" s="262">
        <v>3</v>
      </c>
      <c r="O7" s="266">
        <v>4</v>
      </c>
      <c r="P7" s="14"/>
      <c r="Q7" s="326">
        <f>ROUND(SUMIFS(DATA!$Y:$Y,DATA!$C:$C,INDEX!$C$12,DATA!$N:$N,$B7),0)-SUMIF($I:$I,"-",L:L)-SUMIF($I:$I,"-",M:M)</f>
        <v>0</v>
      </c>
      <c r="R7" s="326">
        <f>ROUND($A72*SUMIFS(DATA!$Y:$Y,DATA!$C:$C,INDEX!$D$12,DATA!$N:$N,$B7),0)-O8</f>
        <v>0</v>
      </c>
    </row>
    <row r="8" spans="1:18" ht="27" thickTop="1" x14ac:dyDescent="0.2">
      <c r="F8" s="69"/>
      <c r="G8" s="383"/>
      <c r="H8" s="384"/>
      <c r="I8" s="385"/>
      <c r="J8" s="267" t="str">
        <f>VLOOKUP(K8,'řádky R'!A:M,13,0)</f>
        <v>AKTIVA CELKEM (ř. 02 + 03 + 31 + 63)</v>
      </c>
      <c r="K8" s="303">
        <v>1</v>
      </c>
      <c r="L8" s="268">
        <f>IF($E8=3,ROUND($A8*SUMIFS(DATA!$Y:$Y,DATA!$C:$C,INDEX!$C$12,DATA!$X:$X,L$4,DATA!$N:$N,$B8,DATA!$S:$S,$K8),0)+Q8,IF($E8=2,SUMIFS(L:L,$C:$C,$C8,$D:$D,$D8,$E:$E,3),IF($E8=1,SUMIFS(L:L,$C:$C,$C8,$E:$E,2),SUMIF($I:$I,"-",L:L))))</f>
        <v>0</v>
      </c>
      <c r="M8" s="268">
        <f>IF($E8=3,ROUND($A8*SUMIFS(DATA!$Y:$Y,DATA!$C:$C,INDEX!$C$12,DATA!$X:$X,M$4,DATA!$N:$N,$B8,DATA!$S:$S,$K8),0),IF($E8=2,SUMIFS(M:M,$C:$C,$C8,$D:$D,$D8,$E:$E,3),IF($E8=1,SUMIFS(M:M,$C:$C,$C8,$E:$E,2),SUMIF($I:$I,"-",M:M))))</f>
        <v>0</v>
      </c>
      <c r="N8" s="268">
        <f t="shared" ref="N8" si="0">L8+M8</f>
        <v>0</v>
      </c>
      <c r="O8" s="269">
        <f>IF($E8=3,ROUND($A8*SUMIFS(DATA!$Y:$Y,DATA!$C:$C,INDEX!$D$12,DATA!$N:$N,$B8,DATA!$S:$S,$K8),0)+R8,IF($E8=2,SUMIFS(O:O,$C:$C,$C8,$D:$D,$D8,$E:$E,3),IF($E8=1,SUMIFS(O:O,$C:$C,$C8,$E:$E,2),SUMIF($I:$I,"-",O:O))))</f>
        <v>0</v>
      </c>
      <c r="P8" s="14"/>
      <c r="Q8" s="63"/>
      <c r="R8" s="63"/>
    </row>
    <row r="9" spans="1:18" x14ac:dyDescent="0.2">
      <c r="A9" s="51">
        <v>1</v>
      </c>
      <c r="B9" s="73" t="s">
        <v>807</v>
      </c>
      <c r="C9" s="51" t="str">
        <f t="shared" ref="C9:C71" si="1">IF(G9&gt;0,G9,C8)</f>
        <v>A.</v>
      </c>
      <c r="D9" s="51">
        <f t="shared" ref="D9:D69" si="2">IF(H9&gt;0,H9,D8)</f>
        <v>0</v>
      </c>
      <c r="E9" s="51">
        <v>3</v>
      </c>
      <c r="F9" s="69"/>
      <c r="G9" s="270" t="s">
        <v>274</v>
      </c>
      <c r="H9" s="271"/>
      <c r="I9" s="272" t="s">
        <v>306</v>
      </c>
      <c r="J9" s="226" t="str">
        <f>VLOOKUP(K9,'řádky R'!A:M,13,0)</f>
        <v>Pohledávky za upsaný základní kapitál</v>
      </c>
      <c r="K9" s="273">
        <v>2</v>
      </c>
      <c r="L9" s="274">
        <f>IF($E9=3,ROUND($A9*SUMIFS(DATA!$Y:$Y,DATA!$C:$C,INDEX!$C$12,DATA!$X:$X,L$4,DATA!$N:$N,$B9,DATA!$S:$S,$K9),0)+Q9,IF($E9=2,SUMIFS(L:L,$C:$C,$C9,$D:$D,$D9,$E:$E,3),IF($E9=1,SUMIFS(L:L,$C:$C,$C9,$E:$E,2),SUMIF($I:$I,"-",L:L))))</f>
        <v>0</v>
      </c>
      <c r="M9" s="274">
        <f>IF($E9=3,ROUND($A9*SUMIFS(DATA!$Y:$Y,DATA!$C:$C,INDEX!$C$12,DATA!$X:$X,M$4,DATA!$N:$N,$B9,DATA!$S:$S,$K9),0),IF($E9=2,SUMIFS(M:M,$C:$C,$C9,$D:$D,$D9,$E:$E,3),IF($E9=1,SUMIFS(M:M,$C:$C,$C9,$E:$E,2),SUMIF($I:$I,"-",M:M))))</f>
        <v>0</v>
      </c>
      <c r="N9" s="274">
        <f t="shared" ref="N9:N72" si="3">L9+M9</f>
        <v>0</v>
      </c>
      <c r="O9" s="275">
        <f>IF($E9=3,ROUND($A9*SUMIFS(DATA!$Y:$Y,DATA!$C:$C,INDEX!$D$12,DATA!$N:$N,$B9,DATA!$S:$S,$K9),0)+R9,IF($E9=2,SUMIFS(O:O,$C:$C,$C9,$D:$D,$D9,$E:$E,3),IF($E9=1,SUMIFS(O:O,$C:$C,$C9,$E:$E,2),SUMIF($I:$I,"-",O:O))))</f>
        <v>0</v>
      </c>
      <c r="P9" s="14"/>
      <c r="Q9" s="137"/>
      <c r="R9" s="137"/>
    </row>
    <row r="10" spans="1:18" x14ac:dyDescent="0.2">
      <c r="A10" s="51">
        <v>1</v>
      </c>
      <c r="B10" s="73" t="s">
        <v>807</v>
      </c>
      <c r="C10" s="51" t="str">
        <f t="shared" si="1"/>
        <v>B.</v>
      </c>
      <c r="D10" s="51">
        <f t="shared" si="2"/>
        <v>0</v>
      </c>
      <c r="E10" s="51">
        <v>1</v>
      </c>
      <c r="F10" s="69"/>
      <c r="G10" s="338" t="s">
        <v>275</v>
      </c>
      <c r="H10" s="339"/>
      <c r="I10" s="340" t="s">
        <v>306</v>
      </c>
      <c r="J10" s="276" t="str">
        <f>VLOOKUP(K10,'řádky R'!A:M,13,0)</f>
        <v>Dlouhodobý majetek (ř. 04 + 13 + 23)</v>
      </c>
      <c r="K10" s="341">
        <v>3</v>
      </c>
      <c r="L10" s="277">
        <f>IF($E10=3,ROUND($A10*SUMIFS(DATA!$Y:$Y,DATA!$C:$C,INDEX!$C$12,DATA!$X:$X,L$4,DATA!$N:$N,$B10,DATA!$S:$S,$K10),0)+Q10,IF($E10=2,SUMIFS(L:L,$C:$C,$C10,$D:$D,$D10,$E:$E,3),IF($E10=1,SUMIFS(L:L,$C:$C,$C10,$E:$E,2),SUMIF($I:$I,"-",L:L))))</f>
        <v>0</v>
      </c>
      <c r="M10" s="277">
        <f>IF($E10=3,ROUND($A10*SUMIFS(DATA!$Y:$Y,DATA!$C:$C,INDEX!$C$12,DATA!$X:$X,M$4,DATA!$N:$N,$B10,DATA!$S:$S,$K10),0),IF($E10=2,SUMIFS(M:M,$C:$C,$C10,$D:$D,$D10,$E:$E,3),IF($E10=1,SUMIFS(M:M,$C:$C,$C10,$E:$E,2),SUMIF($I:$I,"-",M:M))))</f>
        <v>0</v>
      </c>
      <c r="N10" s="277">
        <f t="shared" si="3"/>
        <v>0</v>
      </c>
      <c r="O10" s="278">
        <f>IF($E10=3,ROUND($A10*SUMIFS(DATA!$Y:$Y,DATA!$C:$C,INDEX!$D$12,DATA!$N:$N,$B10,DATA!$S:$S,$K10),0)+R10,IF($E10=2,SUMIFS(O:O,$C:$C,$C10,$D:$D,$D10,$E:$E,3),IF($E10=1,SUMIFS(O:O,$C:$C,$C10,$E:$E,2),SUMIF($I:$I,"-",O:O))))</f>
        <v>0</v>
      </c>
      <c r="P10" s="14"/>
      <c r="Q10" s="65"/>
      <c r="R10" s="65"/>
    </row>
    <row r="11" spans="1:18" x14ac:dyDescent="0.2">
      <c r="A11" s="51">
        <v>1</v>
      </c>
      <c r="B11" s="73" t="s">
        <v>807</v>
      </c>
      <c r="C11" s="51" t="str">
        <f t="shared" si="1"/>
        <v>B.</v>
      </c>
      <c r="D11" s="51" t="str">
        <f t="shared" si="2"/>
        <v>I.</v>
      </c>
      <c r="E11" s="51">
        <v>2</v>
      </c>
      <c r="F11" s="69"/>
      <c r="G11" s="304" t="s">
        <v>275</v>
      </c>
      <c r="H11" s="305" t="s">
        <v>276</v>
      </c>
      <c r="I11" s="382"/>
      <c r="J11" s="202" t="str">
        <f>VLOOKUP(K11,'řádky R'!A:M,13,0)</f>
        <v>Dlouhodobý nehmotný majetek (ř. 05 až 12)</v>
      </c>
      <c r="K11" s="307">
        <v>4</v>
      </c>
      <c r="L11" s="279">
        <f>IF($E11=3,ROUND($A11*SUMIFS(DATA!$Y:$Y,DATA!$C:$C,INDEX!$C$12,DATA!$X:$X,L$4,DATA!$N:$N,$B11,DATA!$S:$S,$K11),0)+Q11,IF($E11=2,SUMIFS(L:L,$C:$C,$C11,$D:$D,$D11,$E:$E,3),IF($E11=1,SUMIFS(L:L,$C:$C,$C11,$E:$E,2),SUMIF($I:$I,"-",L:L))))</f>
        <v>0</v>
      </c>
      <c r="M11" s="279">
        <f>IF($E11=3,ROUND($A11*SUMIFS(DATA!$Y:$Y,DATA!$C:$C,INDEX!$C$12,DATA!$X:$X,M$4,DATA!$N:$N,$B11,DATA!$S:$S,$K11),0),IF($E11=2,SUMIFS(M:M,$C:$C,$C11,$D:$D,$D11,$E:$E,3),IF($E11=1,SUMIFS(M:M,$C:$C,$C11,$E:$E,2),SUMIF($I:$I,"-",M:M))))</f>
        <v>0</v>
      </c>
      <c r="N11" s="279">
        <f t="shared" si="3"/>
        <v>0</v>
      </c>
      <c r="O11" s="280">
        <f>IF($E11=3,ROUND($A11*SUMIFS(DATA!$Y:$Y,DATA!$C:$C,INDEX!$D$12,DATA!$N:$N,$B11,DATA!$S:$S,$K11),0)+R11,IF($E11=2,SUMIFS(O:O,$C:$C,$C11,$D:$D,$D11,$E:$E,3),IF($E11=1,SUMIFS(O:O,$C:$C,$C11,$E:$E,2),SUMIF($I:$I,"-",O:O))))</f>
        <v>0</v>
      </c>
      <c r="P11" s="14"/>
      <c r="Q11" s="65"/>
      <c r="R11" s="65"/>
    </row>
    <row r="12" spans="1:18" x14ac:dyDescent="0.2">
      <c r="A12" s="51">
        <v>1</v>
      </c>
      <c r="B12" s="73" t="s">
        <v>807</v>
      </c>
      <c r="C12" s="51" t="str">
        <f>IF(G12&gt;0,G12,C11)</f>
        <v>B.</v>
      </c>
      <c r="D12" s="51" t="str">
        <f t="shared" si="2"/>
        <v>I.</v>
      </c>
      <c r="E12" s="51">
        <v>3</v>
      </c>
      <c r="F12" s="69"/>
      <c r="G12" s="281" t="s">
        <v>275</v>
      </c>
      <c r="H12" s="236" t="s">
        <v>276</v>
      </c>
      <c r="I12" s="236" t="s">
        <v>277</v>
      </c>
      <c r="J12" s="208" t="str">
        <f>VLOOKUP(K12,'řádky R'!A:M,13,0)</f>
        <v>Zřizovací výdaje</v>
      </c>
      <c r="K12" s="282">
        <v>5</v>
      </c>
      <c r="L12" s="283">
        <f>IF($E12=3,ROUND($A12*SUMIFS(DATA!$Y:$Y,DATA!$C:$C,INDEX!$C$12,DATA!$X:$X,L$4,DATA!$N:$N,$B12,DATA!$S:$S,$K12),0)+Q12,IF($E12=2,SUMIFS(L:L,$C:$C,$C12,$D:$D,$D12,$E:$E,3),IF($E12=1,SUMIFS(L:L,$C:$C,$C12,$E:$E,2),SUMIF($I:$I,"-",L:L))))</f>
        <v>0</v>
      </c>
      <c r="M12" s="283">
        <f>IF($E12=3,ROUND($A12*SUMIFS(DATA!$Y:$Y,DATA!$C:$C,INDEX!$C$12,DATA!$X:$X,M$4,DATA!$N:$N,$B12,DATA!$S:$S,$K12),0),IF($E12=2,SUMIFS(M:M,$C:$C,$C12,$D:$D,$D12,$E:$E,3),IF($E12=1,SUMIFS(M:M,$C:$C,$C12,$E:$E,2),SUMIF($I:$I,"-",M:M))))</f>
        <v>0</v>
      </c>
      <c r="N12" s="283">
        <f t="shared" si="3"/>
        <v>0</v>
      </c>
      <c r="O12" s="284">
        <f>IF($E12=3,ROUND($A12*SUMIFS(DATA!$Y:$Y,DATA!$C:$C,INDEX!$D$12,DATA!$N:$N,$B12,DATA!$S:$S,$K12),0)+R12,IF($E12=2,SUMIFS(O:O,$C:$C,$C12,$D:$D,$D12,$E:$E,3),IF($E12=1,SUMIFS(O:O,$C:$C,$C12,$E:$E,2),SUMIF($I:$I,"-",O:O))))</f>
        <v>0</v>
      </c>
      <c r="P12" s="14"/>
      <c r="Q12" s="137"/>
      <c r="R12" s="137"/>
    </row>
    <row r="13" spans="1:18" x14ac:dyDescent="0.2">
      <c r="A13" s="51">
        <v>1</v>
      </c>
      <c r="B13" s="73" t="s">
        <v>807</v>
      </c>
      <c r="C13" s="51" t="str">
        <f t="shared" si="1"/>
        <v>B.</v>
      </c>
      <c r="D13" s="51" t="str">
        <f t="shared" si="2"/>
        <v>I.</v>
      </c>
      <c r="E13" s="51">
        <v>3</v>
      </c>
      <c r="F13" s="69"/>
      <c r="G13" s="285"/>
      <c r="H13" s="237"/>
      <c r="I13" s="236" t="s">
        <v>278</v>
      </c>
      <c r="J13" s="208" t="str">
        <f>VLOOKUP(K13,'řádky R'!A:M,13,0)</f>
        <v xml:space="preserve">Nehmotné výsledky výzkumu a vývoje </v>
      </c>
      <c r="K13" s="282">
        <v>6</v>
      </c>
      <c r="L13" s="283">
        <f>IF($E13=3,ROUND($A13*SUMIFS(DATA!$Y:$Y,DATA!$C:$C,INDEX!$C$12,DATA!$X:$X,L$4,DATA!$N:$N,$B13,DATA!$S:$S,$K13),0)+Q13,IF($E13=2,SUMIFS(L:L,$C:$C,$C13,$D:$D,$D13,$E:$E,3),IF($E13=1,SUMIFS(L:L,$C:$C,$C13,$E:$E,2),SUMIF($I:$I,"-",L:L))))</f>
        <v>0</v>
      </c>
      <c r="M13" s="283">
        <f>IF($E13=3,ROUND($A13*SUMIFS(DATA!$Y:$Y,DATA!$C:$C,INDEX!$C$12,DATA!$X:$X,M$4,DATA!$N:$N,$B13,DATA!$S:$S,$K13),0),IF($E13=2,SUMIFS(M:M,$C:$C,$C13,$D:$D,$D13,$E:$E,3),IF($E13=1,SUMIFS(M:M,$C:$C,$C13,$E:$E,2),SUMIF($I:$I,"-",M:M))))</f>
        <v>0</v>
      </c>
      <c r="N13" s="283">
        <f t="shared" si="3"/>
        <v>0</v>
      </c>
      <c r="O13" s="284">
        <f>IF($E13=3,ROUND($A13*SUMIFS(DATA!$Y:$Y,DATA!$C:$C,INDEX!$D$12,DATA!$N:$N,$B13,DATA!$S:$S,$K13),0)+R13,IF($E13=2,SUMIFS(O:O,$C:$C,$C13,$D:$D,$D13,$E:$E,3),IF($E13=1,SUMIFS(O:O,$C:$C,$C13,$E:$E,2),SUMIF($I:$I,"-",O:O))))</f>
        <v>0</v>
      </c>
      <c r="P13" s="14"/>
      <c r="Q13" s="137"/>
      <c r="R13" s="137"/>
    </row>
    <row r="14" spans="1:18" x14ac:dyDescent="0.2">
      <c r="A14" s="51">
        <v>1</v>
      </c>
      <c r="B14" s="73" t="s">
        <v>807</v>
      </c>
      <c r="C14" s="51" t="str">
        <f t="shared" si="1"/>
        <v>B.</v>
      </c>
      <c r="D14" s="51" t="str">
        <f t="shared" si="2"/>
        <v>I.</v>
      </c>
      <c r="E14" s="51">
        <v>3</v>
      </c>
      <c r="F14" s="69"/>
      <c r="G14" s="241"/>
      <c r="H14" s="237"/>
      <c r="I14" s="236" t="s">
        <v>279</v>
      </c>
      <c r="J14" s="208" t="str">
        <f>VLOOKUP(K14,'řádky R'!A:M,13,0)</f>
        <v>Software</v>
      </c>
      <c r="K14" s="282">
        <v>7</v>
      </c>
      <c r="L14" s="283">
        <f>IF($E14=3,ROUND($A14*SUMIFS(DATA!$Y:$Y,DATA!$C:$C,INDEX!$C$12,DATA!$X:$X,L$4,DATA!$N:$N,$B14,DATA!$S:$S,$K14),0)+Q14,IF($E14=2,SUMIFS(L:L,$C:$C,$C14,$D:$D,$D14,$E:$E,3),IF($E14=1,SUMIFS(L:L,$C:$C,$C14,$E:$E,2),SUMIF($I:$I,"-",L:L))))</f>
        <v>0</v>
      </c>
      <c r="M14" s="283">
        <f>IF($E14=3,ROUND($A14*SUMIFS(DATA!$Y:$Y,DATA!$C:$C,INDEX!$C$12,DATA!$X:$X,M$4,DATA!$N:$N,$B14,DATA!$S:$S,$K14),0),IF($E14=2,SUMIFS(M:M,$C:$C,$C14,$D:$D,$D14,$E:$E,3),IF($E14=1,SUMIFS(M:M,$C:$C,$C14,$E:$E,2),SUMIF($I:$I,"-",M:M))))</f>
        <v>0</v>
      </c>
      <c r="N14" s="283">
        <f t="shared" si="3"/>
        <v>0</v>
      </c>
      <c r="O14" s="284">
        <f>IF($E14=3,ROUND($A14*SUMIFS(DATA!$Y:$Y,DATA!$C:$C,INDEX!$D$12,DATA!$N:$N,$B14,DATA!$S:$S,$K14),0)+R14,IF($E14=2,SUMIFS(O:O,$C:$C,$C14,$D:$D,$D14,$E:$E,3),IF($E14=1,SUMIFS(O:O,$C:$C,$C14,$E:$E,2),SUMIF($I:$I,"-",O:O))))</f>
        <v>0</v>
      </c>
      <c r="P14" s="14"/>
      <c r="Q14" s="137"/>
      <c r="R14" s="137"/>
    </row>
    <row r="15" spans="1:18" x14ac:dyDescent="0.2">
      <c r="A15" s="51">
        <v>1</v>
      </c>
      <c r="B15" s="73" t="s">
        <v>807</v>
      </c>
      <c r="C15" s="51" t="str">
        <f t="shared" si="1"/>
        <v>B.</v>
      </c>
      <c r="D15" s="51" t="str">
        <f t="shared" si="2"/>
        <v>I.</v>
      </c>
      <c r="E15" s="51">
        <v>3</v>
      </c>
      <c r="F15" s="69"/>
      <c r="G15" s="241"/>
      <c r="H15" s="237"/>
      <c r="I15" s="236" t="s">
        <v>280</v>
      </c>
      <c r="J15" s="208" t="str">
        <f>VLOOKUP(K15,'řádky R'!A:M,13,0)</f>
        <v>Ocenitelná práva</v>
      </c>
      <c r="K15" s="282">
        <v>8</v>
      </c>
      <c r="L15" s="283">
        <f>IF($E15=3,ROUND($A15*SUMIFS(DATA!$Y:$Y,DATA!$C:$C,INDEX!$C$12,DATA!$X:$X,L$4,DATA!$N:$N,$B15,DATA!$S:$S,$K15),0)+Q15,IF($E15=2,SUMIFS(L:L,$C:$C,$C15,$D:$D,$D15,$E:$E,3),IF($E15=1,SUMIFS(L:L,$C:$C,$C15,$E:$E,2),SUMIF($I:$I,"-",L:L))))</f>
        <v>0</v>
      </c>
      <c r="M15" s="283">
        <f>IF($E15=3,ROUND($A15*SUMIFS(DATA!$Y:$Y,DATA!$C:$C,INDEX!$C$12,DATA!$X:$X,M$4,DATA!$N:$N,$B15,DATA!$S:$S,$K15),0),IF($E15=2,SUMIFS(M:M,$C:$C,$C15,$D:$D,$D15,$E:$E,3),IF($E15=1,SUMIFS(M:M,$C:$C,$C15,$E:$E,2),SUMIF($I:$I,"-",M:M))))</f>
        <v>0</v>
      </c>
      <c r="N15" s="283">
        <f t="shared" si="3"/>
        <v>0</v>
      </c>
      <c r="O15" s="284">
        <f>IF($E15=3,ROUND($A15*SUMIFS(DATA!$Y:$Y,DATA!$C:$C,INDEX!$D$12,DATA!$N:$N,$B15,DATA!$S:$S,$K15),0)+R15,IF($E15=2,SUMIFS(O:O,$C:$C,$C15,$D:$D,$D15,$E:$E,3),IF($E15=1,SUMIFS(O:O,$C:$C,$C15,$E:$E,2),SUMIF($I:$I,"-",O:O))))</f>
        <v>0</v>
      </c>
      <c r="P15" s="14"/>
      <c r="Q15" s="137"/>
      <c r="R15" s="137"/>
    </row>
    <row r="16" spans="1:18" x14ac:dyDescent="0.2">
      <c r="A16" s="51">
        <v>1</v>
      </c>
      <c r="B16" s="73" t="s">
        <v>807</v>
      </c>
      <c r="C16" s="51" t="str">
        <f t="shared" si="1"/>
        <v>B.</v>
      </c>
      <c r="D16" s="51" t="str">
        <f t="shared" si="2"/>
        <v>I.</v>
      </c>
      <c r="E16" s="51">
        <v>3</v>
      </c>
      <c r="F16" s="69"/>
      <c r="G16" s="241"/>
      <c r="H16" s="237"/>
      <c r="I16" s="236" t="s">
        <v>281</v>
      </c>
      <c r="J16" s="208" t="str">
        <f>VLOOKUP(K16,'řádky R'!A:M,13,0)</f>
        <v>Goodwill</v>
      </c>
      <c r="K16" s="282">
        <v>9</v>
      </c>
      <c r="L16" s="283">
        <f>IF($E16=3,ROUND($A16*SUMIFS(DATA!$Y:$Y,DATA!$C:$C,INDEX!$C$12,DATA!$X:$X,L$4,DATA!$N:$N,$B16,DATA!$S:$S,$K16),0)+Q16,IF($E16=2,SUMIFS(L:L,$C:$C,$C16,$D:$D,$D16,$E:$E,3),IF($E16=1,SUMIFS(L:L,$C:$C,$C16,$E:$E,2),SUMIF($I:$I,"-",L:L))))</f>
        <v>0</v>
      </c>
      <c r="M16" s="283">
        <f>IF($E16=3,ROUND($A16*SUMIFS(DATA!$Y:$Y,DATA!$C:$C,INDEX!$C$12,DATA!$X:$X,M$4,DATA!$N:$N,$B16,DATA!$S:$S,$K16),0),IF($E16=2,SUMIFS(M:M,$C:$C,$C16,$D:$D,$D16,$E:$E,3),IF($E16=1,SUMIFS(M:M,$C:$C,$C16,$E:$E,2),SUMIF($I:$I,"-",M:M))))</f>
        <v>0</v>
      </c>
      <c r="N16" s="283">
        <f t="shared" si="3"/>
        <v>0</v>
      </c>
      <c r="O16" s="284">
        <f>IF($E16=3,ROUND($A16*SUMIFS(DATA!$Y:$Y,DATA!$C:$C,INDEX!$D$12,DATA!$N:$N,$B16,DATA!$S:$S,$K16),0)+R16,IF($E16=2,SUMIFS(O:O,$C:$C,$C16,$D:$D,$D16,$E:$E,3),IF($E16=1,SUMIFS(O:O,$C:$C,$C16,$E:$E,2),SUMIF($I:$I,"-",O:O))))</f>
        <v>0</v>
      </c>
      <c r="P16" s="14"/>
      <c r="Q16" s="137"/>
      <c r="R16" s="137"/>
    </row>
    <row r="17" spans="1:18" x14ac:dyDescent="0.2">
      <c r="A17" s="51">
        <v>1</v>
      </c>
      <c r="B17" s="73" t="s">
        <v>807</v>
      </c>
      <c r="C17" s="51" t="str">
        <f t="shared" si="1"/>
        <v>B.</v>
      </c>
      <c r="D17" s="51" t="str">
        <f t="shared" si="2"/>
        <v>I.</v>
      </c>
      <c r="E17" s="51">
        <v>3</v>
      </c>
      <c r="F17" s="69"/>
      <c r="G17" s="241"/>
      <c r="H17" s="237"/>
      <c r="I17" s="236" t="s">
        <v>282</v>
      </c>
      <c r="J17" s="208" t="str">
        <f>VLOOKUP(K17,'řádky R'!A:M,13,0)</f>
        <v>Jiný dlouhodobý nehmotný majetek</v>
      </c>
      <c r="K17" s="282">
        <v>10</v>
      </c>
      <c r="L17" s="283">
        <f>IF($E17=3,ROUND($A17*SUMIFS(DATA!$Y:$Y,DATA!$C:$C,INDEX!$C$12,DATA!$X:$X,L$4,DATA!$N:$N,$B17,DATA!$S:$S,$K17),0)+Q17,IF($E17=2,SUMIFS(L:L,$C:$C,$C17,$D:$D,$D17,$E:$E,3),IF($E17=1,SUMIFS(L:L,$C:$C,$C17,$E:$E,2),SUMIF($I:$I,"-",L:L))))</f>
        <v>0</v>
      </c>
      <c r="M17" s="283">
        <f>IF($E17=3,ROUND($A17*SUMIFS(DATA!$Y:$Y,DATA!$C:$C,INDEX!$C$12,DATA!$X:$X,M$4,DATA!$N:$N,$B17,DATA!$S:$S,$K17),0),IF($E17=2,SUMIFS(M:M,$C:$C,$C17,$D:$D,$D17,$E:$E,3),IF($E17=1,SUMIFS(M:M,$C:$C,$C17,$E:$E,2),SUMIF($I:$I,"-",M:M))))</f>
        <v>0</v>
      </c>
      <c r="N17" s="283">
        <f t="shared" si="3"/>
        <v>0</v>
      </c>
      <c r="O17" s="284">
        <f>IF($E17=3,ROUND($A17*SUMIFS(DATA!$Y:$Y,DATA!$C:$C,INDEX!$D$12,DATA!$N:$N,$B17,DATA!$S:$S,$K17),0)+R17,IF($E17=2,SUMIFS(O:O,$C:$C,$C17,$D:$D,$D17,$E:$E,3),IF($E17=1,SUMIFS(O:O,$C:$C,$C17,$E:$E,2),SUMIF($I:$I,"-",O:O))))</f>
        <v>0</v>
      </c>
      <c r="P17" s="14"/>
      <c r="Q17" s="137"/>
      <c r="R17" s="137"/>
    </row>
    <row r="18" spans="1:18" x14ac:dyDescent="0.2">
      <c r="A18" s="51">
        <v>1</v>
      </c>
      <c r="B18" s="73" t="s">
        <v>807</v>
      </c>
      <c r="C18" s="51" t="str">
        <f t="shared" si="1"/>
        <v>B.</v>
      </c>
      <c r="D18" s="51" t="str">
        <f t="shared" si="2"/>
        <v>I.</v>
      </c>
      <c r="E18" s="51">
        <v>3</v>
      </c>
      <c r="F18" s="69"/>
      <c r="G18" s="241"/>
      <c r="H18" s="237"/>
      <c r="I18" s="236" t="s">
        <v>283</v>
      </c>
      <c r="J18" s="208" t="str">
        <f>VLOOKUP(K18,'řádky R'!A:M,13,0)</f>
        <v>Nedokončený dlouhodobý nehmotný majetek</v>
      </c>
      <c r="K18" s="282">
        <v>11</v>
      </c>
      <c r="L18" s="283">
        <f>IF($E18=3,ROUND($A18*SUMIFS(DATA!$Y:$Y,DATA!$C:$C,INDEX!$C$12,DATA!$X:$X,L$4,DATA!$N:$N,$B18,DATA!$S:$S,$K18),0)+Q18,IF($E18=2,SUMIFS(L:L,$C:$C,$C18,$D:$D,$D18,$E:$E,3),IF($E18=1,SUMIFS(L:L,$C:$C,$C18,$E:$E,2),SUMIF($I:$I,"-",L:L))))</f>
        <v>0</v>
      </c>
      <c r="M18" s="283">
        <f>IF($E18=3,ROUND($A18*SUMIFS(DATA!$Y:$Y,DATA!$C:$C,INDEX!$C$12,DATA!$X:$X,M$4,DATA!$N:$N,$B18,DATA!$S:$S,$K18),0),IF($E18=2,SUMIFS(M:M,$C:$C,$C18,$D:$D,$D18,$E:$E,3),IF($E18=1,SUMIFS(M:M,$C:$C,$C18,$E:$E,2),SUMIF($I:$I,"-",M:M))))</f>
        <v>0</v>
      </c>
      <c r="N18" s="283">
        <f t="shared" si="3"/>
        <v>0</v>
      </c>
      <c r="O18" s="284">
        <f>IF($E18=3,ROUND($A18*SUMIFS(DATA!$Y:$Y,DATA!$C:$C,INDEX!$D$12,DATA!$N:$N,$B18,DATA!$S:$S,$K18),0)+R18,IF($E18=2,SUMIFS(O:O,$C:$C,$C18,$D:$D,$D18,$E:$E,3),IF($E18=1,SUMIFS(O:O,$C:$C,$C18,$E:$E,2),SUMIF($I:$I,"-",O:O))))</f>
        <v>0</v>
      </c>
      <c r="P18" s="14"/>
      <c r="Q18" s="137"/>
      <c r="R18" s="137"/>
    </row>
    <row r="19" spans="1:18" x14ac:dyDescent="0.2">
      <c r="A19" s="51">
        <v>1</v>
      </c>
      <c r="B19" s="73" t="s">
        <v>807</v>
      </c>
      <c r="C19" s="51" t="str">
        <f t="shared" si="1"/>
        <v>B.</v>
      </c>
      <c r="D19" s="51" t="str">
        <f t="shared" si="2"/>
        <v>I.</v>
      </c>
      <c r="E19" s="51">
        <v>3</v>
      </c>
      <c r="F19" s="69"/>
      <c r="G19" s="286"/>
      <c r="H19" s="287"/>
      <c r="I19" s="236" t="s">
        <v>284</v>
      </c>
      <c r="J19" s="288" t="str">
        <f>VLOOKUP(K19,'řádky R'!A:M,13,0)</f>
        <v>Poskytnuté zálohy na dlouhodobý nehmotný majetek</v>
      </c>
      <c r="K19" s="289">
        <v>12</v>
      </c>
      <c r="L19" s="290">
        <f>IF($E19=3,ROUND($A19*SUMIFS(DATA!$Y:$Y,DATA!$C:$C,INDEX!$C$12,DATA!$X:$X,L$4,DATA!$N:$N,$B19,DATA!$S:$S,$K19),0)+Q19,IF($E19=2,SUMIFS(L:L,$C:$C,$C19,$D:$D,$D19,$E:$E,3),IF($E19=1,SUMIFS(L:L,$C:$C,$C19,$E:$E,2),SUMIF($I:$I,"-",L:L))))</f>
        <v>0</v>
      </c>
      <c r="M19" s="290">
        <f>IF($E19=3,ROUND($A19*SUMIFS(DATA!$Y:$Y,DATA!$C:$C,INDEX!$C$12,DATA!$X:$X,M$4,DATA!$N:$N,$B19,DATA!$S:$S,$K19),0),IF($E19=2,SUMIFS(M:M,$C:$C,$C19,$D:$D,$D19,$E:$E,3),IF($E19=1,SUMIFS(M:M,$C:$C,$C19,$E:$E,2),SUMIF($I:$I,"-",M:M))))</f>
        <v>0</v>
      </c>
      <c r="N19" s="290">
        <f t="shared" si="3"/>
        <v>0</v>
      </c>
      <c r="O19" s="291">
        <f>IF($E19=3,ROUND($A19*SUMIFS(DATA!$Y:$Y,DATA!$C:$C,INDEX!$D$12,DATA!$N:$N,$B19,DATA!$S:$S,$K19),0)+R19,IF($E19=2,SUMIFS(O:O,$C:$C,$C19,$D:$D,$D19,$E:$E,3),IF($E19=1,SUMIFS(O:O,$C:$C,$C19,$E:$E,2),SUMIF($I:$I,"-",O:O))))</f>
        <v>0</v>
      </c>
      <c r="P19" s="14"/>
      <c r="Q19" s="137"/>
      <c r="R19" s="137"/>
    </row>
    <row r="20" spans="1:18" x14ac:dyDescent="0.2">
      <c r="A20" s="51">
        <v>1</v>
      </c>
      <c r="B20" s="73" t="s">
        <v>807</v>
      </c>
      <c r="C20" s="51" t="str">
        <f t="shared" si="1"/>
        <v>B.</v>
      </c>
      <c r="D20" s="51" t="str">
        <f t="shared" si="2"/>
        <v>II.</v>
      </c>
      <c r="E20" s="51">
        <v>2</v>
      </c>
      <c r="F20" s="69"/>
      <c r="G20" s="304" t="s">
        <v>275</v>
      </c>
      <c r="H20" s="305" t="s">
        <v>286</v>
      </c>
      <c r="I20" s="305"/>
      <c r="J20" s="202" t="str">
        <f>VLOOKUP(K20,'řádky R'!A:M,13,0)</f>
        <v>Dlouhodobý hmotný majetek  (ř. 14 až 22)</v>
      </c>
      <c r="K20" s="307">
        <v>13</v>
      </c>
      <c r="L20" s="279">
        <f>IF($E20=3,ROUND($A20*SUMIFS(DATA!$Y:$Y,DATA!$C:$C,INDEX!$C$12,DATA!$X:$X,L$4,DATA!$N:$N,$B20,DATA!$S:$S,$K20),0)+Q20,IF($E20=2,SUMIFS(L:L,$C:$C,$C20,$D:$D,$D20,$E:$E,3),IF($E20=1,SUMIFS(L:L,$C:$C,$C20,$E:$E,2),SUMIF($I:$I,"-",L:L))))</f>
        <v>0</v>
      </c>
      <c r="M20" s="279">
        <f>IF($E20=3,ROUND($A20*SUMIFS(DATA!$Y:$Y,DATA!$C:$C,INDEX!$C$12,DATA!$X:$X,M$4,DATA!$N:$N,$B20,DATA!$S:$S,$K20),0),IF($E20=2,SUMIFS(M:M,$C:$C,$C20,$D:$D,$D20,$E:$E,3),IF($E20=1,SUMIFS(M:M,$C:$C,$C20,$E:$E,2),SUMIF($I:$I,"-",M:M))))</f>
        <v>0</v>
      </c>
      <c r="N20" s="279">
        <f t="shared" si="3"/>
        <v>0</v>
      </c>
      <c r="O20" s="280">
        <f>IF($E20=3,ROUND($A20*SUMIFS(DATA!$Y:$Y,DATA!$C:$C,INDEX!$D$12,DATA!$N:$N,$B20,DATA!$S:$S,$K20),0)+R20,IF($E20=2,SUMIFS(O:O,$C:$C,$C20,$D:$D,$D20,$E:$E,3),IF($E20=1,SUMIFS(O:O,$C:$C,$C20,$E:$E,2),SUMIF($I:$I,"-",O:O))))</f>
        <v>0</v>
      </c>
      <c r="P20" s="14"/>
      <c r="Q20" s="65"/>
      <c r="R20" s="65"/>
    </row>
    <row r="21" spans="1:18" x14ac:dyDescent="0.2">
      <c r="A21" s="51">
        <v>1</v>
      </c>
      <c r="B21" s="73" t="s">
        <v>807</v>
      </c>
      <c r="C21" s="51" t="str">
        <f t="shared" si="1"/>
        <v>B.</v>
      </c>
      <c r="D21" s="51" t="str">
        <f t="shared" si="2"/>
        <v>II.</v>
      </c>
      <c r="E21" s="51">
        <v>3</v>
      </c>
      <c r="F21" s="69"/>
      <c r="G21" s="281" t="s">
        <v>275</v>
      </c>
      <c r="H21" s="236" t="s">
        <v>286</v>
      </c>
      <c r="I21" s="236" t="s">
        <v>277</v>
      </c>
      <c r="J21" s="208" t="str">
        <f>VLOOKUP(K21,'řádky R'!A:M,13,0)</f>
        <v>Pozemky</v>
      </c>
      <c r="K21" s="282">
        <v>14</v>
      </c>
      <c r="L21" s="283">
        <f>IF($E21=3,ROUND($A21*SUMIFS(DATA!$Y:$Y,DATA!$C:$C,INDEX!$C$12,DATA!$X:$X,L$4,DATA!$N:$N,$B21,DATA!$S:$S,$K21),0)+Q21,IF($E21=2,SUMIFS(L:L,$C:$C,$C21,$D:$D,$D21,$E:$E,3),IF($E21=1,SUMIFS(L:L,$C:$C,$C21,$E:$E,2),SUMIF($I:$I,"-",L:L))))</f>
        <v>0</v>
      </c>
      <c r="M21" s="283">
        <f>IF($E21=3,ROUND($A21*SUMIFS(DATA!$Y:$Y,DATA!$C:$C,INDEX!$C$12,DATA!$X:$X,M$4,DATA!$N:$N,$B21,DATA!$S:$S,$K21),0),IF($E21=2,SUMIFS(M:M,$C:$C,$C21,$D:$D,$D21,$E:$E,3),IF($E21=1,SUMIFS(M:M,$C:$C,$C21,$E:$E,2),SUMIF($I:$I,"-",M:M))))</f>
        <v>0</v>
      </c>
      <c r="N21" s="283">
        <f t="shared" si="3"/>
        <v>0</v>
      </c>
      <c r="O21" s="284">
        <f>IF($E21=3,ROUND($A21*SUMIFS(DATA!$Y:$Y,DATA!$C:$C,INDEX!$D$12,DATA!$N:$N,$B21,DATA!$S:$S,$K21),0)+R21,IF($E21=2,SUMIFS(O:O,$C:$C,$C21,$D:$D,$D21,$E:$E,3),IF($E21=1,SUMIFS(O:O,$C:$C,$C21,$E:$E,2),SUMIF($I:$I,"-",O:O))))</f>
        <v>0</v>
      </c>
      <c r="P21" s="14"/>
      <c r="Q21" s="137"/>
      <c r="R21" s="137"/>
    </row>
    <row r="22" spans="1:18" x14ac:dyDescent="0.2">
      <c r="A22" s="51">
        <v>1</v>
      </c>
      <c r="B22" s="73" t="s">
        <v>807</v>
      </c>
      <c r="C22" s="51" t="str">
        <f t="shared" si="1"/>
        <v>B.</v>
      </c>
      <c r="D22" s="51" t="str">
        <f t="shared" si="2"/>
        <v>II.</v>
      </c>
      <c r="E22" s="51">
        <v>3</v>
      </c>
      <c r="F22" s="69"/>
      <c r="G22" s="285"/>
      <c r="H22" s="237"/>
      <c r="I22" s="236" t="s">
        <v>278</v>
      </c>
      <c r="J22" s="208" t="str">
        <f>VLOOKUP(K22,'řádky R'!A:M,13,0)</f>
        <v>Stavby</v>
      </c>
      <c r="K22" s="282">
        <v>15</v>
      </c>
      <c r="L22" s="283">
        <f>IF($E22=3,ROUND($A22*SUMIFS(DATA!$Y:$Y,DATA!$C:$C,INDEX!$C$12,DATA!$X:$X,L$4,DATA!$N:$N,$B22,DATA!$S:$S,$K22),0)+Q22,IF($E22=2,SUMIFS(L:L,$C:$C,$C22,$D:$D,$D22,$E:$E,3),IF($E22=1,SUMIFS(L:L,$C:$C,$C22,$E:$E,2),SUMIF($I:$I,"-",L:L))))</f>
        <v>0</v>
      </c>
      <c r="M22" s="283">
        <f>IF($E22=3,ROUND($A22*SUMIFS(DATA!$Y:$Y,DATA!$C:$C,INDEX!$C$12,DATA!$X:$X,M$4,DATA!$N:$N,$B22,DATA!$S:$S,$K22),0),IF($E22=2,SUMIFS(M:M,$C:$C,$C22,$D:$D,$D22,$E:$E,3),IF($E22=1,SUMIFS(M:M,$C:$C,$C22,$E:$E,2),SUMIF($I:$I,"-",M:M))))</f>
        <v>0</v>
      </c>
      <c r="N22" s="283">
        <f t="shared" si="3"/>
        <v>0</v>
      </c>
      <c r="O22" s="284">
        <f>IF($E22=3,ROUND($A22*SUMIFS(DATA!$Y:$Y,DATA!$C:$C,INDEX!$D$12,DATA!$N:$N,$B22,DATA!$S:$S,$K22),0)+R22,IF($E22=2,SUMIFS(O:O,$C:$C,$C22,$D:$D,$D22,$E:$E,3),IF($E22=1,SUMIFS(O:O,$C:$C,$C22,$E:$E,2),SUMIF($I:$I,"-",O:O))))</f>
        <v>0</v>
      </c>
      <c r="P22" s="14"/>
      <c r="Q22" s="137"/>
      <c r="R22" s="137"/>
    </row>
    <row r="23" spans="1:18" x14ac:dyDescent="0.2">
      <c r="A23" s="51">
        <v>1</v>
      </c>
      <c r="B23" s="73" t="s">
        <v>807</v>
      </c>
      <c r="C23" s="51" t="str">
        <f t="shared" si="1"/>
        <v>B.</v>
      </c>
      <c r="D23" s="51" t="str">
        <f t="shared" si="2"/>
        <v>II.</v>
      </c>
      <c r="E23" s="51">
        <v>3</v>
      </c>
      <c r="F23" s="69"/>
      <c r="G23" s="241"/>
      <c r="H23" s="237"/>
      <c r="I23" s="236" t="s">
        <v>279</v>
      </c>
      <c r="J23" s="208" t="str">
        <f>VLOOKUP(K23,'řádky R'!A:M,13,0)</f>
        <v>Samostatné movité věci a soubory movitých věcí</v>
      </c>
      <c r="K23" s="282">
        <v>16</v>
      </c>
      <c r="L23" s="283">
        <f>IF($E23=3,ROUND($A23*SUMIFS(DATA!$Y:$Y,DATA!$C:$C,INDEX!$C$12,DATA!$X:$X,L$4,DATA!$N:$N,$B23,DATA!$S:$S,$K23),0)+Q23,IF($E23=2,SUMIFS(L:L,$C:$C,$C23,$D:$D,$D23,$E:$E,3),IF($E23=1,SUMIFS(L:L,$C:$C,$C23,$E:$E,2),SUMIF($I:$I,"-",L:L))))</f>
        <v>0</v>
      </c>
      <c r="M23" s="283">
        <f>IF($E23=3,ROUND($A23*SUMIFS(DATA!$Y:$Y,DATA!$C:$C,INDEX!$C$12,DATA!$X:$X,M$4,DATA!$N:$N,$B23,DATA!$S:$S,$K23),0),IF($E23=2,SUMIFS(M:M,$C:$C,$C23,$D:$D,$D23,$E:$E,3),IF($E23=1,SUMIFS(M:M,$C:$C,$C23,$E:$E,2),SUMIF($I:$I,"-",M:M))))</f>
        <v>0</v>
      </c>
      <c r="N23" s="283">
        <f t="shared" si="3"/>
        <v>0</v>
      </c>
      <c r="O23" s="284">
        <f>IF($E23=3,ROUND($A23*SUMIFS(DATA!$Y:$Y,DATA!$C:$C,INDEX!$D$12,DATA!$N:$N,$B23,DATA!$S:$S,$K23),0)+R23,IF($E23=2,SUMIFS(O:O,$C:$C,$C23,$D:$D,$D23,$E:$E,3),IF($E23=1,SUMIFS(O:O,$C:$C,$C23,$E:$E,2),SUMIF($I:$I,"-",O:O))))</f>
        <v>0</v>
      </c>
      <c r="P23" s="14"/>
      <c r="Q23" s="137"/>
      <c r="R23" s="137"/>
    </row>
    <row r="24" spans="1:18" x14ac:dyDescent="0.2">
      <c r="A24" s="51">
        <v>1</v>
      </c>
      <c r="B24" s="73" t="s">
        <v>807</v>
      </c>
      <c r="C24" s="51" t="str">
        <f t="shared" si="1"/>
        <v>B.</v>
      </c>
      <c r="D24" s="51" t="str">
        <f t="shared" si="2"/>
        <v>II.</v>
      </c>
      <c r="E24" s="51">
        <v>3</v>
      </c>
      <c r="F24" s="69"/>
      <c r="G24" s="241"/>
      <c r="H24" s="237"/>
      <c r="I24" s="236" t="s">
        <v>280</v>
      </c>
      <c r="J24" s="208" t="str">
        <f>VLOOKUP(K24,'řádky R'!A:M,13,0)</f>
        <v>Pěstitelské celky trvalých porostů</v>
      </c>
      <c r="K24" s="282">
        <v>17</v>
      </c>
      <c r="L24" s="283">
        <f>IF($E24=3,ROUND($A24*SUMIFS(DATA!$Y:$Y,DATA!$C:$C,INDEX!$C$12,DATA!$X:$X,L$4,DATA!$N:$N,$B24,DATA!$S:$S,$K24),0)+Q24,IF($E24=2,SUMIFS(L:L,$C:$C,$C24,$D:$D,$D24,$E:$E,3),IF($E24=1,SUMIFS(L:L,$C:$C,$C24,$E:$E,2),SUMIF($I:$I,"-",L:L))))</f>
        <v>0</v>
      </c>
      <c r="M24" s="283">
        <f>IF($E24=3,ROUND($A24*SUMIFS(DATA!$Y:$Y,DATA!$C:$C,INDEX!$C$12,DATA!$X:$X,M$4,DATA!$N:$N,$B24,DATA!$S:$S,$K24),0),IF($E24=2,SUMIFS(M:M,$C:$C,$C24,$D:$D,$D24,$E:$E,3),IF($E24=1,SUMIFS(M:M,$C:$C,$C24,$E:$E,2),SUMIF($I:$I,"-",M:M))))</f>
        <v>0</v>
      </c>
      <c r="N24" s="283">
        <f t="shared" si="3"/>
        <v>0</v>
      </c>
      <c r="O24" s="284">
        <f>IF($E24=3,ROUND($A24*SUMIFS(DATA!$Y:$Y,DATA!$C:$C,INDEX!$D$12,DATA!$N:$N,$B24,DATA!$S:$S,$K24),0)+R24,IF($E24=2,SUMIFS(O:O,$C:$C,$C24,$D:$D,$D24,$E:$E,3),IF($E24=1,SUMIFS(O:O,$C:$C,$C24,$E:$E,2),SUMIF($I:$I,"-",O:O))))</f>
        <v>0</v>
      </c>
      <c r="P24" s="14"/>
      <c r="Q24" s="137"/>
      <c r="R24" s="137"/>
    </row>
    <row r="25" spans="1:18" x14ac:dyDescent="0.2">
      <c r="A25" s="51">
        <v>1</v>
      </c>
      <c r="B25" s="73" t="s">
        <v>807</v>
      </c>
      <c r="C25" s="51" t="str">
        <f t="shared" si="1"/>
        <v>B.</v>
      </c>
      <c r="D25" s="51" t="str">
        <f t="shared" si="2"/>
        <v>II.</v>
      </c>
      <c r="E25" s="51">
        <v>3</v>
      </c>
      <c r="F25" s="69"/>
      <c r="G25" s="241"/>
      <c r="H25" s="237"/>
      <c r="I25" s="236" t="s">
        <v>281</v>
      </c>
      <c r="J25" s="208" t="str">
        <f>VLOOKUP(K25,'řádky R'!A:M,13,0)</f>
        <v>Dospělá zvířata a jejich skupiny</v>
      </c>
      <c r="K25" s="282">
        <v>18</v>
      </c>
      <c r="L25" s="283">
        <f>IF($E25=3,ROUND($A25*SUMIFS(DATA!$Y:$Y,DATA!$C:$C,INDEX!$C$12,DATA!$X:$X,L$4,DATA!$N:$N,$B25,DATA!$S:$S,$K25),0)+Q25,IF($E25=2,SUMIFS(L:L,$C:$C,$C25,$D:$D,$D25,$E:$E,3),IF($E25=1,SUMIFS(L:L,$C:$C,$C25,$E:$E,2),SUMIF($I:$I,"-",L:L))))</f>
        <v>0</v>
      </c>
      <c r="M25" s="283">
        <f>IF($E25=3,ROUND($A25*SUMIFS(DATA!$Y:$Y,DATA!$C:$C,INDEX!$C$12,DATA!$X:$X,M$4,DATA!$N:$N,$B25,DATA!$S:$S,$K25),0),IF($E25=2,SUMIFS(M:M,$C:$C,$C25,$D:$D,$D25,$E:$E,3),IF($E25=1,SUMIFS(M:M,$C:$C,$C25,$E:$E,2),SUMIF($I:$I,"-",M:M))))</f>
        <v>0</v>
      </c>
      <c r="N25" s="283">
        <f t="shared" si="3"/>
        <v>0</v>
      </c>
      <c r="O25" s="284">
        <f>IF($E25=3,ROUND($A25*SUMIFS(DATA!$Y:$Y,DATA!$C:$C,INDEX!$D$12,DATA!$N:$N,$B25,DATA!$S:$S,$K25),0)+R25,IF($E25=2,SUMIFS(O:O,$C:$C,$C25,$D:$D,$D25,$E:$E,3),IF($E25=1,SUMIFS(O:O,$C:$C,$C25,$E:$E,2),SUMIF($I:$I,"-",O:O))))</f>
        <v>0</v>
      </c>
      <c r="P25" s="14"/>
      <c r="Q25" s="137"/>
      <c r="R25" s="137"/>
    </row>
    <row r="26" spans="1:18" x14ac:dyDescent="0.2">
      <c r="A26" s="51">
        <v>1</v>
      </c>
      <c r="B26" s="73" t="s">
        <v>807</v>
      </c>
      <c r="C26" s="51" t="str">
        <f t="shared" si="1"/>
        <v>B.</v>
      </c>
      <c r="D26" s="51" t="str">
        <f t="shared" si="2"/>
        <v>II.</v>
      </c>
      <c r="E26" s="51">
        <v>3</v>
      </c>
      <c r="F26" s="69"/>
      <c r="G26" s="241"/>
      <c r="H26" s="237"/>
      <c r="I26" s="236" t="s">
        <v>282</v>
      </c>
      <c r="J26" s="208" t="str">
        <f>VLOOKUP(K26,'řádky R'!A:M,13,0)</f>
        <v>Jiný dlouhodobý hmotný majetek</v>
      </c>
      <c r="K26" s="282">
        <v>19</v>
      </c>
      <c r="L26" s="283">
        <f>IF($E26=3,ROUND($A26*SUMIFS(DATA!$Y:$Y,DATA!$C:$C,INDEX!$C$12,DATA!$X:$X,L$4,DATA!$N:$N,$B26,DATA!$S:$S,$K26),0)+Q26,IF($E26=2,SUMIFS(L:L,$C:$C,$C26,$D:$D,$D26,$E:$E,3),IF($E26=1,SUMIFS(L:L,$C:$C,$C26,$E:$E,2),SUMIF($I:$I,"-",L:L))))</f>
        <v>0</v>
      </c>
      <c r="M26" s="283">
        <f>IF($E26=3,ROUND($A26*SUMIFS(DATA!$Y:$Y,DATA!$C:$C,INDEX!$C$12,DATA!$X:$X,M$4,DATA!$N:$N,$B26,DATA!$S:$S,$K26),0),IF($E26=2,SUMIFS(M:M,$C:$C,$C26,$D:$D,$D26,$E:$E,3),IF($E26=1,SUMIFS(M:M,$C:$C,$C26,$E:$E,2),SUMIF($I:$I,"-",M:M))))</f>
        <v>0</v>
      </c>
      <c r="N26" s="283">
        <f t="shared" si="3"/>
        <v>0</v>
      </c>
      <c r="O26" s="284">
        <f>IF($E26=3,ROUND($A26*SUMIFS(DATA!$Y:$Y,DATA!$C:$C,INDEX!$D$12,DATA!$N:$N,$B26,DATA!$S:$S,$K26),0)+R26,IF($E26=2,SUMIFS(O:O,$C:$C,$C26,$D:$D,$D26,$E:$E,3),IF($E26=1,SUMIFS(O:O,$C:$C,$C26,$E:$E,2),SUMIF($I:$I,"-",O:O))))</f>
        <v>0</v>
      </c>
      <c r="P26" s="14"/>
      <c r="Q26" s="137"/>
      <c r="R26" s="137"/>
    </row>
    <row r="27" spans="1:18" x14ac:dyDescent="0.2">
      <c r="A27" s="51">
        <v>1</v>
      </c>
      <c r="B27" s="73" t="s">
        <v>807</v>
      </c>
      <c r="C27" s="51" t="str">
        <f t="shared" si="1"/>
        <v>B.</v>
      </c>
      <c r="D27" s="51" t="str">
        <f t="shared" si="2"/>
        <v>II.</v>
      </c>
      <c r="E27" s="51">
        <v>3</v>
      </c>
      <c r="F27" s="69"/>
      <c r="G27" s="241"/>
      <c r="H27" s="237"/>
      <c r="I27" s="236" t="s">
        <v>283</v>
      </c>
      <c r="J27" s="208" t="str">
        <f>VLOOKUP(K27,'řádky R'!A:M,13,0)</f>
        <v>Nedokončený dlouhodobý hmotný majetek</v>
      </c>
      <c r="K27" s="282">
        <v>20</v>
      </c>
      <c r="L27" s="283">
        <f>IF($E27=3,ROUND($A27*SUMIFS(DATA!$Y:$Y,DATA!$C:$C,INDEX!$C$12,DATA!$X:$X,L$4,DATA!$N:$N,$B27,DATA!$S:$S,$K27),0)+Q27,IF($E27=2,SUMIFS(L:L,$C:$C,$C27,$D:$D,$D27,$E:$E,3),IF($E27=1,SUMIFS(L:L,$C:$C,$C27,$E:$E,2),SUMIF($I:$I,"-",L:L))))</f>
        <v>0</v>
      </c>
      <c r="M27" s="283">
        <f>IF($E27=3,ROUND($A27*SUMIFS(DATA!$Y:$Y,DATA!$C:$C,INDEX!$C$12,DATA!$X:$X,M$4,DATA!$N:$N,$B27,DATA!$S:$S,$K27),0),IF($E27=2,SUMIFS(M:M,$C:$C,$C27,$D:$D,$D27,$E:$E,3),IF($E27=1,SUMIFS(M:M,$C:$C,$C27,$E:$E,2),SUMIF($I:$I,"-",M:M))))</f>
        <v>0</v>
      </c>
      <c r="N27" s="283">
        <f t="shared" si="3"/>
        <v>0</v>
      </c>
      <c r="O27" s="284">
        <f>IF($E27=3,ROUND($A27*SUMIFS(DATA!$Y:$Y,DATA!$C:$C,INDEX!$D$12,DATA!$N:$N,$B27,DATA!$S:$S,$K27),0)+R27,IF($E27=2,SUMIFS(O:O,$C:$C,$C27,$D:$D,$D27,$E:$E,3),IF($E27=1,SUMIFS(O:O,$C:$C,$C27,$E:$E,2),SUMIF($I:$I,"-",O:O))))</f>
        <v>0</v>
      </c>
      <c r="P27" s="14"/>
      <c r="Q27" s="137"/>
      <c r="R27" s="137"/>
    </row>
    <row r="28" spans="1:18" x14ac:dyDescent="0.2">
      <c r="A28" s="51">
        <v>1</v>
      </c>
      <c r="B28" s="73" t="s">
        <v>807</v>
      </c>
      <c r="C28" s="51" t="str">
        <f t="shared" si="1"/>
        <v>B.</v>
      </c>
      <c r="D28" s="51" t="str">
        <f t="shared" si="2"/>
        <v>II.</v>
      </c>
      <c r="E28" s="51">
        <v>3</v>
      </c>
      <c r="F28" s="69"/>
      <c r="G28" s="241"/>
      <c r="H28" s="237"/>
      <c r="I28" s="236" t="s">
        <v>284</v>
      </c>
      <c r="J28" s="208" t="str">
        <f>VLOOKUP(K28,'řádky R'!A:M,13,0)</f>
        <v>Poskytnuté zálohy na dlouhodobý hmotný majetek</v>
      </c>
      <c r="K28" s="282">
        <v>21</v>
      </c>
      <c r="L28" s="283">
        <f>IF($E28=3,ROUND($A28*SUMIFS(DATA!$Y:$Y,DATA!$C:$C,INDEX!$C$12,DATA!$X:$X,L$4,DATA!$N:$N,$B28,DATA!$S:$S,$K28),0)+Q28,IF($E28=2,SUMIFS(L:L,$C:$C,$C28,$D:$D,$D28,$E:$E,3),IF($E28=1,SUMIFS(L:L,$C:$C,$C28,$E:$E,2),SUMIF($I:$I,"-",L:L))))</f>
        <v>0</v>
      </c>
      <c r="M28" s="283">
        <f>IF($E28=3,ROUND($A28*SUMIFS(DATA!$Y:$Y,DATA!$C:$C,INDEX!$C$12,DATA!$X:$X,M$4,DATA!$N:$N,$B28,DATA!$S:$S,$K28),0),IF($E28=2,SUMIFS(M:M,$C:$C,$C28,$D:$D,$D28,$E:$E,3),IF($E28=1,SUMIFS(M:M,$C:$C,$C28,$E:$E,2),SUMIF($I:$I,"-",M:M))))</f>
        <v>0</v>
      </c>
      <c r="N28" s="283">
        <f t="shared" si="3"/>
        <v>0</v>
      </c>
      <c r="O28" s="284">
        <f>IF($E28=3,ROUND($A28*SUMIFS(DATA!$Y:$Y,DATA!$C:$C,INDEX!$D$12,DATA!$N:$N,$B28,DATA!$S:$S,$K28),0)+R28,IF($E28=2,SUMIFS(O:O,$C:$C,$C28,$D:$D,$D28,$E:$E,3),IF($E28=1,SUMIFS(O:O,$C:$C,$C28,$E:$E,2),SUMIF($I:$I,"-",O:O))))</f>
        <v>0</v>
      </c>
      <c r="P28" s="14"/>
      <c r="Q28" s="137"/>
      <c r="R28" s="137"/>
    </row>
    <row r="29" spans="1:18" x14ac:dyDescent="0.2">
      <c r="A29" s="51">
        <v>1</v>
      </c>
      <c r="B29" s="73" t="s">
        <v>807</v>
      </c>
      <c r="C29" s="51" t="str">
        <f t="shared" si="1"/>
        <v>B.</v>
      </c>
      <c r="D29" s="51" t="str">
        <f t="shared" si="2"/>
        <v>II.</v>
      </c>
      <c r="E29" s="51">
        <v>3</v>
      </c>
      <c r="F29" s="69"/>
      <c r="G29" s="286"/>
      <c r="H29" s="287"/>
      <c r="I29" s="292" t="s">
        <v>287</v>
      </c>
      <c r="J29" s="288" t="str">
        <f>VLOOKUP(K29,'řádky R'!A:M,13,0)</f>
        <v>Oceňovací rozdíl k nabytému majetku</v>
      </c>
      <c r="K29" s="289">
        <v>22</v>
      </c>
      <c r="L29" s="290">
        <f>IF($E29=3,ROUND($A29*SUMIFS(DATA!$Y:$Y,DATA!$C:$C,INDEX!$C$12,DATA!$X:$X,L$4,DATA!$N:$N,$B29,DATA!$S:$S,$K29),0)+Q29,IF($E29=2,SUMIFS(L:L,$C:$C,$C29,$D:$D,$D29,$E:$E,3),IF($E29=1,SUMIFS(L:L,$C:$C,$C29,$E:$E,2),SUMIF($I:$I,"-",L:L))))</f>
        <v>0</v>
      </c>
      <c r="M29" s="290">
        <f>IF($E29=3,ROUND($A29*SUMIFS(DATA!$Y:$Y,DATA!$C:$C,INDEX!$C$12,DATA!$X:$X,M$4,DATA!$N:$N,$B29,DATA!$S:$S,$K29),0),IF($E29=2,SUMIFS(M:M,$C:$C,$C29,$D:$D,$D29,$E:$E,3),IF($E29=1,SUMIFS(M:M,$C:$C,$C29,$E:$E,2),SUMIF($I:$I,"-",M:M))))</f>
        <v>0</v>
      </c>
      <c r="N29" s="290">
        <f t="shared" si="3"/>
        <v>0</v>
      </c>
      <c r="O29" s="291">
        <f>IF($E29=3,ROUND($A29*SUMIFS(DATA!$Y:$Y,DATA!$C:$C,INDEX!$D$12,DATA!$N:$N,$B29,DATA!$S:$S,$K29),0)+R29,IF($E29=2,SUMIFS(O:O,$C:$C,$C29,$D:$D,$D29,$E:$E,3),IF($E29=1,SUMIFS(O:O,$C:$C,$C29,$E:$E,2),SUMIF($I:$I,"-",O:O))))</f>
        <v>0</v>
      </c>
      <c r="P29" s="14"/>
      <c r="Q29" s="137"/>
      <c r="R29" s="137"/>
    </row>
    <row r="30" spans="1:18" x14ac:dyDescent="0.2">
      <c r="A30" s="51">
        <v>1</v>
      </c>
      <c r="B30" s="73" t="s">
        <v>807</v>
      </c>
      <c r="C30" s="51" t="str">
        <f t="shared" si="1"/>
        <v>B.</v>
      </c>
      <c r="D30" s="51" t="str">
        <f t="shared" si="2"/>
        <v>III.</v>
      </c>
      <c r="E30" s="51">
        <v>2</v>
      </c>
      <c r="F30" s="69"/>
      <c r="G30" s="304" t="s">
        <v>275</v>
      </c>
      <c r="H30" s="305" t="s">
        <v>291</v>
      </c>
      <c r="I30" s="305"/>
      <c r="J30" s="202" t="str">
        <f>VLOOKUP(K30,'řádky R'!A:M,13,0)</f>
        <v>Dlouhodobý finanční majetek  (ř. 24 až 30)</v>
      </c>
      <c r="K30" s="307">
        <v>23</v>
      </c>
      <c r="L30" s="279">
        <f>IF($E30=3,ROUND($A30*SUMIFS(DATA!$Y:$Y,DATA!$C:$C,INDEX!$C$12,DATA!$X:$X,L$4,DATA!$N:$N,$B30,DATA!$S:$S,$K30),0)+Q30,IF($E30=2,SUMIFS(L:L,$C:$C,$C30,$D:$D,$D30,$E:$E,3),IF($E30=1,SUMIFS(L:L,$C:$C,$C30,$E:$E,2),SUMIF($I:$I,"-",L:L))))</f>
        <v>0</v>
      </c>
      <c r="M30" s="279">
        <f>IF($E30=3,ROUND($A30*SUMIFS(DATA!$Y:$Y,DATA!$C:$C,INDEX!$C$12,DATA!$X:$X,M$4,DATA!$N:$N,$B30,DATA!$S:$S,$K30),0),IF($E30=2,SUMIFS(M:M,$C:$C,$C30,$D:$D,$D30,$E:$E,3),IF($E30=1,SUMIFS(M:M,$C:$C,$C30,$E:$E,2),SUMIF($I:$I,"-",M:M))))</f>
        <v>0</v>
      </c>
      <c r="N30" s="279">
        <f t="shared" si="3"/>
        <v>0</v>
      </c>
      <c r="O30" s="280">
        <f>IF($E30=3,ROUND($A30*SUMIFS(DATA!$Y:$Y,DATA!$C:$C,INDEX!$D$12,DATA!$N:$N,$B30,DATA!$S:$S,$K30),0)+R30,IF($E30=2,SUMIFS(O:O,$C:$C,$C30,$D:$D,$D30,$E:$E,3),IF($E30=1,SUMIFS(O:O,$C:$C,$C30,$E:$E,2),SUMIF($I:$I,"-",O:O))))</f>
        <v>0</v>
      </c>
      <c r="P30" s="14"/>
      <c r="Q30" s="65"/>
      <c r="R30" s="65"/>
    </row>
    <row r="31" spans="1:18" x14ac:dyDescent="0.2">
      <c r="A31" s="51">
        <v>1</v>
      </c>
      <c r="B31" s="73" t="s">
        <v>807</v>
      </c>
      <c r="C31" s="51" t="str">
        <f t="shared" si="1"/>
        <v>B.</v>
      </c>
      <c r="D31" s="51" t="str">
        <f t="shared" si="2"/>
        <v>III.</v>
      </c>
      <c r="E31" s="51">
        <v>3</v>
      </c>
      <c r="F31" s="69"/>
      <c r="G31" s="281" t="s">
        <v>275</v>
      </c>
      <c r="H31" s="236" t="s">
        <v>291</v>
      </c>
      <c r="I31" s="236" t="s">
        <v>277</v>
      </c>
      <c r="J31" s="208" t="str">
        <f>VLOOKUP(K31,'řádky R'!A:M,13,0)</f>
        <v>Podíly - ovládaná osoba</v>
      </c>
      <c r="K31" s="282">
        <v>24</v>
      </c>
      <c r="L31" s="283">
        <f>IF($E31=3,ROUND($A31*SUMIFS(DATA!$Y:$Y,DATA!$C:$C,INDEX!$C$12,DATA!$X:$X,L$4,DATA!$N:$N,$B31,DATA!$S:$S,$K31),0)+Q31,IF($E31=2,SUMIFS(L:L,$C:$C,$C31,$D:$D,$D31,$E:$E,3),IF($E31=1,SUMIFS(L:L,$C:$C,$C31,$E:$E,2),SUMIF($I:$I,"-",L:L))))</f>
        <v>0</v>
      </c>
      <c r="M31" s="283">
        <f>IF($E31=3,ROUND($A31*SUMIFS(DATA!$Y:$Y,DATA!$C:$C,INDEX!$C$12,DATA!$X:$X,M$4,DATA!$N:$N,$B31,DATA!$S:$S,$K31),0),IF($E31=2,SUMIFS(M:M,$C:$C,$C31,$D:$D,$D31,$E:$E,3),IF($E31=1,SUMIFS(M:M,$C:$C,$C31,$E:$E,2),SUMIF($I:$I,"-",M:M))))</f>
        <v>0</v>
      </c>
      <c r="N31" s="283">
        <f t="shared" si="3"/>
        <v>0</v>
      </c>
      <c r="O31" s="284">
        <f>IF($E31=3,ROUND($A31*SUMIFS(DATA!$Y:$Y,DATA!$C:$C,INDEX!$D$12,DATA!$N:$N,$B31,DATA!$S:$S,$K31),0)+R31,IF($E31=2,SUMIFS(O:O,$C:$C,$C31,$D:$D,$D31,$E:$E,3),IF($E31=1,SUMIFS(O:O,$C:$C,$C31,$E:$E,2),SUMIF($I:$I,"-",O:O))))</f>
        <v>0</v>
      </c>
      <c r="P31" s="14"/>
      <c r="Q31" s="137"/>
      <c r="R31" s="137"/>
    </row>
    <row r="32" spans="1:18" x14ac:dyDescent="0.2">
      <c r="A32" s="51">
        <v>1</v>
      </c>
      <c r="B32" s="73" t="s">
        <v>807</v>
      </c>
      <c r="C32" s="51" t="str">
        <f t="shared" si="1"/>
        <v>B.</v>
      </c>
      <c r="D32" s="51" t="str">
        <f t="shared" si="2"/>
        <v>III.</v>
      </c>
      <c r="E32" s="51">
        <v>3</v>
      </c>
      <c r="F32" s="69"/>
      <c r="G32" s="285"/>
      <c r="H32" s="237"/>
      <c r="I32" s="236" t="s">
        <v>278</v>
      </c>
      <c r="J32" s="208" t="str">
        <f>VLOOKUP(K32,'řádky R'!A:M,13,0)</f>
        <v>Podíly v účetních jednotkách pod podstatným vlivem</v>
      </c>
      <c r="K32" s="282">
        <v>25</v>
      </c>
      <c r="L32" s="283">
        <f>IF($E32=3,ROUND($A32*SUMIFS(DATA!$Y:$Y,DATA!$C:$C,INDEX!$C$12,DATA!$X:$X,L$4,DATA!$N:$N,$B32,DATA!$S:$S,$K32),0)+Q32,IF($E32=2,SUMIFS(L:L,$C:$C,$C32,$D:$D,$D32,$E:$E,3),IF($E32=1,SUMIFS(L:L,$C:$C,$C32,$E:$E,2),SUMIF($I:$I,"-",L:L))))</f>
        <v>0</v>
      </c>
      <c r="M32" s="283">
        <f>IF($E32=3,ROUND($A32*SUMIFS(DATA!$Y:$Y,DATA!$C:$C,INDEX!$C$12,DATA!$X:$X,M$4,DATA!$N:$N,$B32,DATA!$S:$S,$K32),0),IF($E32=2,SUMIFS(M:M,$C:$C,$C32,$D:$D,$D32,$E:$E,3),IF($E32=1,SUMIFS(M:M,$C:$C,$C32,$E:$E,2),SUMIF($I:$I,"-",M:M))))</f>
        <v>0</v>
      </c>
      <c r="N32" s="283">
        <f t="shared" si="3"/>
        <v>0</v>
      </c>
      <c r="O32" s="284">
        <f>IF($E32=3,ROUND($A32*SUMIFS(DATA!$Y:$Y,DATA!$C:$C,INDEX!$D$12,DATA!$N:$N,$B32,DATA!$S:$S,$K32),0)+R32,IF($E32=2,SUMIFS(O:O,$C:$C,$C32,$D:$D,$D32,$E:$E,3),IF($E32=1,SUMIFS(O:O,$C:$C,$C32,$E:$E,2),SUMIF($I:$I,"-",O:O))))</f>
        <v>0</v>
      </c>
      <c r="P32" s="14"/>
      <c r="Q32" s="137"/>
      <c r="R32" s="137"/>
    </row>
    <row r="33" spans="1:18" x14ac:dyDescent="0.2">
      <c r="A33" s="51">
        <v>1</v>
      </c>
      <c r="B33" s="73" t="s">
        <v>807</v>
      </c>
      <c r="C33" s="51" t="str">
        <f t="shared" si="1"/>
        <v>B.</v>
      </c>
      <c r="D33" s="51" t="str">
        <f t="shared" si="2"/>
        <v>III.</v>
      </c>
      <c r="E33" s="51">
        <v>3</v>
      </c>
      <c r="F33" s="69"/>
      <c r="G33" s="241"/>
      <c r="H33" s="237"/>
      <c r="I33" s="236" t="s">
        <v>279</v>
      </c>
      <c r="J33" s="208" t="str">
        <f>VLOOKUP(K33,'řádky R'!A:M,13,0)</f>
        <v>Ostatní dlouhodobé cenné papíry a podíly</v>
      </c>
      <c r="K33" s="282">
        <v>26</v>
      </c>
      <c r="L33" s="283">
        <f>IF($E33=3,ROUND($A33*SUMIFS(DATA!$Y:$Y,DATA!$C:$C,INDEX!$C$12,DATA!$X:$X,L$4,DATA!$N:$N,$B33,DATA!$S:$S,$K33),0)+Q33,IF($E33=2,SUMIFS(L:L,$C:$C,$C33,$D:$D,$D33,$E:$E,3),IF($E33=1,SUMIFS(L:L,$C:$C,$C33,$E:$E,2),SUMIF($I:$I,"-",L:L))))</f>
        <v>0</v>
      </c>
      <c r="M33" s="283">
        <f>IF($E33=3,ROUND($A33*SUMIFS(DATA!$Y:$Y,DATA!$C:$C,INDEX!$C$12,DATA!$X:$X,M$4,DATA!$N:$N,$B33,DATA!$S:$S,$K33),0),IF($E33=2,SUMIFS(M:M,$C:$C,$C33,$D:$D,$D33,$E:$E,3),IF($E33=1,SUMIFS(M:M,$C:$C,$C33,$E:$E,2),SUMIF($I:$I,"-",M:M))))</f>
        <v>0</v>
      </c>
      <c r="N33" s="283">
        <f t="shared" si="3"/>
        <v>0</v>
      </c>
      <c r="O33" s="284">
        <f>IF($E33=3,ROUND($A33*SUMIFS(DATA!$Y:$Y,DATA!$C:$C,INDEX!$D$12,DATA!$N:$N,$B33,DATA!$S:$S,$K33),0)+R33,IF($E33=2,SUMIFS(O:O,$C:$C,$C33,$D:$D,$D33,$E:$E,3),IF($E33=1,SUMIFS(O:O,$C:$C,$C33,$E:$E,2),SUMIF($I:$I,"-",O:O))))</f>
        <v>0</v>
      </c>
      <c r="P33" s="418" t="s">
        <v>920</v>
      </c>
      <c r="Q33" s="137"/>
      <c r="R33" s="137"/>
    </row>
    <row r="34" spans="1:18" x14ac:dyDescent="0.2">
      <c r="A34" s="51">
        <v>1</v>
      </c>
      <c r="B34" s="73" t="s">
        <v>807</v>
      </c>
      <c r="C34" s="51" t="str">
        <f t="shared" si="1"/>
        <v>B.</v>
      </c>
      <c r="D34" s="51" t="str">
        <f t="shared" si="2"/>
        <v>III.</v>
      </c>
      <c r="E34" s="51">
        <v>3</v>
      </c>
      <c r="F34" s="69"/>
      <c r="G34" s="241"/>
      <c r="H34" s="237"/>
      <c r="I34" s="236" t="s">
        <v>280</v>
      </c>
      <c r="J34" s="208" t="str">
        <f>VLOOKUP(K34,'řádky R'!A:M,13,0)</f>
        <v>Půjčky a úvěry - ovládaná nebo ovládající osoba, podstatný vliv</v>
      </c>
      <c r="K34" s="282">
        <v>27</v>
      </c>
      <c r="L34" s="283">
        <f>IF($E34=3,ROUND($A34*SUMIFS(DATA!$Y:$Y,DATA!$C:$C,INDEX!$C$12,DATA!$X:$X,L$4,DATA!$N:$N,$B34,DATA!$S:$S,$K34),0)+Q34,IF($E34=2,SUMIFS(L:L,$C:$C,$C34,$D:$D,$D34,$E:$E,3),IF($E34=1,SUMIFS(L:L,$C:$C,$C34,$E:$E,2),SUMIF($I:$I,"-",L:L))))</f>
        <v>0</v>
      </c>
      <c r="M34" s="283">
        <f>IF($E34=3,ROUND($A34*SUMIFS(DATA!$Y:$Y,DATA!$C:$C,INDEX!$C$12,DATA!$X:$X,M$4,DATA!$N:$N,$B34,DATA!$S:$S,$K34),0),IF($E34=2,SUMIFS(M:M,$C:$C,$C34,$D:$D,$D34,$E:$E,3),IF($E34=1,SUMIFS(M:M,$C:$C,$C34,$E:$E,2),SUMIF($I:$I,"-",M:M))))</f>
        <v>0</v>
      </c>
      <c r="N34" s="283">
        <f t="shared" si="3"/>
        <v>0</v>
      </c>
      <c r="O34" s="284">
        <f>IF($E34=3,ROUND($A34*SUMIFS(DATA!$Y:$Y,DATA!$C:$C,INDEX!$D$12,DATA!$N:$N,$B34,DATA!$S:$S,$K34),0)+R34,IF($E34=2,SUMIFS(O:O,$C:$C,$C34,$D:$D,$D34,$E:$E,3),IF($E34=1,SUMIFS(O:O,$C:$C,$C34,$E:$E,2),SUMIF($I:$I,"-",O:O))))</f>
        <v>0</v>
      </c>
      <c r="P34" s="418"/>
      <c r="Q34" s="137"/>
      <c r="R34" s="137"/>
    </row>
    <row r="35" spans="1:18" x14ac:dyDescent="0.2">
      <c r="A35" s="51">
        <v>1</v>
      </c>
      <c r="B35" s="73" t="s">
        <v>807</v>
      </c>
      <c r="C35" s="51" t="str">
        <f t="shared" si="1"/>
        <v>B.</v>
      </c>
      <c r="D35" s="51" t="str">
        <f t="shared" si="2"/>
        <v>III.</v>
      </c>
      <c r="E35" s="51">
        <v>3</v>
      </c>
      <c r="F35" s="69"/>
      <c r="G35" s="241"/>
      <c r="H35" s="237"/>
      <c r="I35" s="236" t="s">
        <v>281</v>
      </c>
      <c r="J35" s="208" t="str">
        <f>VLOOKUP(K35,'řádky R'!A:M,13,0)</f>
        <v>Jiný dlouhodobý finanční majetek</v>
      </c>
      <c r="K35" s="282">
        <v>28</v>
      </c>
      <c r="L35" s="283">
        <f>IF($E35=3,ROUND($A35*SUMIFS(DATA!$Y:$Y,DATA!$C:$C,INDEX!$C$12,DATA!$X:$X,L$4,DATA!$N:$N,$B35,DATA!$S:$S,$K35),0)+Q35,IF($E35=2,SUMIFS(L:L,$C:$C,$C35,$D:$D,$D35,$E:$E,3),IF($E35=1,SUMIFS(L:L,$C:$C,$C35,$E:$E,2),SUMIF($I:$I,"-",L:L))))</f>
        <v>0</v>
      </c>
      <c r="M35" s="283">
        <f>IF($E35=3,ROUND($A35*SUMIFS(DATA!$Y:$Y,DATA!$C:$C,INDEX!$C$12,DATA!$X:$X,M$4,DATA!$N:$N,$B35,DATA!$S:$S,$K35),0),IF($E35=2,SUMIFS(M:M,$C:$C,$C35,$D:$D,$D35,$E:$E,3),IF($E35=1,SUMIFS(M:M,$C:$C,$C35,$E:$E,2),SUMIF($I:$I,"-",M:M))))</f>
        <v>0</v>
      </c>
      <c r="N35" s="283">
        <f t="shared" si="3"/>
        <v>0</v>
      </c>
      <c r="O35" s="284">
        <f>IF($E35=3,ROUND($A35*SUMIFS(DATA!$Y:$Y,DATA!$C:$C,INDEX!$D$12,DATA!$N:$N,$B35,DATA!$S:$S,$K35),0)+R35,IF($E35=2,SUMIFS(O:O,$C:$C,$C35,$D:$D,$D35,$E:$E,3),IF($E35=1,SUMIFS(O:O,$C:$C,$C35,$E:$E,2),SUMIF($I:$I,"-",O:O))))</f>
        <v>0</v>
      </c>
      <c r="P35" s="418"/>
      <c r="Q35" s="137"/>
      <c r="R35" s="137"/>
    </row>
    <row r="36" spans="1:18" x14ac:dyDescent="0.2">
      <c r="A36" s="51">
        <v>1</v>
      </c>
      <c r="B36" s="73" t="s">
        <v>807</v>
      </c>
      <c r="C36" s="51" t="str">
        <f t="shared" si="1"/>
        <v>B.</v>
      </c>
      <c r="D36" s="51" t="str">
        <f t="shared" si="2"/>
        <v>III.</v>
      </c>
      <c r="E36" s="51">
        <v>3</v>
      </c>
      <c r="F36" s="69"/>
      <c r="G36" s="241"/>
      <c r="H36" s="237"/>
      <c r="I36" s="236" t="s">
        <v>282</v>
      </c>
      <c r="J36" s="208" t="str">
        <f>VLOOKUP(K36,'řádky R'!A:M,13,0)</f>
        <v>Pořizovaný dlouhodobý finanční majetek</v>
      </c>
      <c r="K36" s="282">
        <v>29</v>
      </c>
      <c r="L36" s="283">
        <f>IF($E36=3,ROUND($A36*SUMIFS(DATA!$Y:$Y,DATA!$C:$C,INDEX!$C$12,DATA!$X:$X,L$4,DATA!$N:$N,$B36,DATA!$S:$S,$K36),0)+Q36,IF($E36=2,SUMIFS(L:L,$C:$C,$C36,$D:$D,$D36,$E:$E,3),IF($E36=1,SUMIFS(L:L,$C:$C,$C36,$E:$E,2),SUMIF($I:$I,"-",L:L))))</f>
        <v>0</v>
      </c>
      <c r="M36" s="283">
        <f>IF($E36=3,ROUND($A36*SUMIFS(DATA!$Y:$Y,DATA!$C:$C,INDEX!$C$12,DATA!$X:$X,M$4,DATA!$N:$N,$B36,DATA!$S:$S,$K36),0),IF($E36=2,SUMIFS(M:M,$C:$C,$C36,$D:$D,$D36,$E:$E,3),IF($E36=1,SUMIFS(M:M,$C:$C,$C36,$E:$E,2),SUMIF($I:$I,"-",M:M))))</f>
        <v>0</v>
      </c>
      <c r="N36" s="283">
        <f t="shared" si="3"/>
        <v>0</v>
      </c>
      <c r="O36" s="284">
        <f>IF($E36=3,ROUND($A36*SUMIFS(DATA!$Y:$Y,DATA!$C:$C,INDEX!$D$12,DATA!$N:$N,$B36,DATA!$S:$S,$K36),0)+R36,IF($E36=2,SUMIFS(O:O,$C:$C,$C36,$D:$D,$D36,$E:$E,3),IF($E36=1,SUMIFS(O:O,$C:$C,$C36,$E:$E,2),SUMIF($I:$I,"-",O:O))))</f>
        <v>0</v>
      </c>
      <c r="P36" s="418"/>
      <c r="Q36" s="137"/>
      <c r="R36" s="137"/>
    </row>
    <row r="37" spans="1:18" ht="27" thickBot="1" x14ac:dyDescent="0.25">
      <c r="A37" s="51">
        <v>1</v>
      </c>
      <c r="B37" s="73" t="s">
        <v>807</v>
      </c>
      <c r="C37" s="51" t="str">
        <f t="shared" si="1"/>
        <v>B.</v>
      </c>
      <c r="D37" s="51" t="str">
        <f t="shared" si="2"/>
        <v>III.</v>
      </c>
      <c r="E37" s="51">
        <v>3</v>
      </c>
      <c r="F37" s="69"/>
      <c r="G37" s="293"/>
      <c r="H37" s="294"/>
      <c r="I37" s="295" t="s">
        <v>283</v>
      </c>
      <c r="J37" s="296" t="str">
        <f>VLOOKUP(K37,'řádky R'!A:M,13,0)</f>
        <v>Poskytnuté zálohy na dlouhodobý finanční majetek</v>
      </c>
      <c r="K37" s="297">
        <v>30</v>
      </c>
      <c r="L37" s="298">
        <f>IF($E37=3,ROUND($A37*SUMIFS(DATA!$Y:$Y,DATA!$C:$C,INDEX!$C$12,DATA!$X:$X,L$4,DATA!$N:$N,$B37,DATA!$S:$S,$K37),0)+Q37,IF($E37=2,SUMIFS(L:L,$C:$C,$C37,$D:$D,$D37,$E:$E,3),IF($E37=1,SUMIFS(L:L,$C:$C,$C37,$E:$E,2),SUMIF($I:$I,"-",L:L))))</f>
        <v>0</v>
      </c>
      <c r="M37" s="298">
        <f>IF($E37=3,ROUND($A37*SUMIFS(DATA!$Y:$Y,DATA!$C:$C,INDEX!$C$12,DATA!$X:$X,M$4,DATA!$N:$N,$B37,DATA!$S:$S,$K37),0),IF($E37=2,SUMIFS(M:M,$C:$C,$C37,$D:$D,$D37,$E:$E,3),IF($E37=1,SUMIFS(M:M,$C:$C,$C37,$E:$E,2),SUMIF($I:$I,"-",M:M))))</f>
        <v>0</v>
      </c>
      <c r="N37" s="298">
        <f t="shared" si="3"/>
        <v>0</v>
      </c>
      <c r="O37" s="299">
        <f>IF($E37=3,ROUND($A37*SUMIFS(DATA!$Y:$Y,DATA!$C:$C,INDEX!$D$12,DATA!$N:$N,$B37,DATA!$S:$S,$K37),0)+R37,IF($E37=2,SUMIFS(O:O,$C:$C,$C37,$D:$D,$D37,$E:$E,3),IF($E37=1,SUMIFS(O:O,$C:$C,$C37,$E:$E,2),SUMIF($I:$I,"-",O:O))))</f>
        <v>0</v>
      </c>
      <c r="P37" s="418"/>
      <c r="Q37" s="137"/>
      <c r="R37" s="137"/>
    </row>
    <row r="38" spans="1:18" x14ac:dyDescent="0.2">
      <c r="A38" s="51">
        <v>1</v>
      </c>
      <c r="B38" s="73" t="s">
        <v>807</v>
      </c>
      <c r="C38" s="51" t="str">
        <f t="shared" si="1"/>
        <v>C.</v>
      </c>
      <c r="D38" s="51" t="str">
        <f t="shared" si="2"/>
        <v>III.</v>
      </c>
      <c r="E38" s="51">
        <v>1</v>
      </c>
      <c r="F38" s="69"/>
      <c r="G38" s="300" t="s">
        <v>309</v>
      </c>
      <c r="H38" s="301"/>
      <c r="I38" s="302" t="s">
        <v>306</v>
      </c>
      <c r="J38" s="267" t="str">
        <f>VLOOKUP(K38,'řádky R'!A:M,13,0)</f>
        <v>Oběžná aktiva  (ř. 32 + 39 + 48 + 58)</v>
      </c>
      <c r="K38" s="303">
        <v>31</v>
      </c>
      <c r="L38" s="268">
        <f>IF($E38=3,ROUND($A38*SUMIFS(DATA!$Y:$Y,DATA!$C:$C,INDEX!$C$12,DATA!$X:$X,L$4,DATA!$N:$N,$B38,DATA!$S:$S,$K38),0)+Q38,IF($E38=2,SUMIFS(L:L,$C:$C,$C38,$D:$D,$D38,$E:$E,3),IF($E38=1,SUMIFS(L:L,$C:$C,$C38,$E:$E,2),SUMIF($I:$I,"-",L:L))))</f>
        <v>0</v>
      </c>
      <c r="M38" s="268">
        <f>IF($E38=3,ROUND($A38*SUMIFS(DATA!$Y:$Y,DATA!$C:$C,INDEX!$C$12,DATA!$X:$X,M$4,DATA!$N:$N,$B38,DATA!$S:$S,$K38),0),IF($E38=2,SUMIFS(M:M,$C:$C,$C38,$D:$D,$D38,$E:$E,3),IF($E38=1,SUMIFS(M:M,$C:$C,$C38,$E:$E,2),SUMIF($I:$I,"-",M:M))))</f>
        <v>0</v>
      </c>
      <c r="N38" s="268">
        <f t="shared" si="3"/>
        <v>0</v>
      </c>
      <c r="O38" s="269">
        <f>IF($E38=3,ROUND($A38*SUMIFS(DATA!$Y:$Y,DATA!$C:$C,INDEX!$D$12,DATA!$N:$N,$B38,DATA!$S:$S,$K38),0)+R38,IF($E38=2,SUMIFS(O:O,$C:$C,$C38,$D:$D,$D38,$E:$E,3),IF($E38=1,SUMIFS(O:O,$C:$C,$C38,$E:$E,2),SUMIF($I:$I,"-",O:O))))</f>
        <v>0</v>
      </c>
      <c r="P38" s="14"/>
      <c r="Q38" s="65"/>
      <c r="R38" s="65"/>
    </row>
    <row r="39" spans="1:18" x14ac:dyDescent="0.2">
      <c r="A39" s="51">
        <v>1</v>
      </c>
      <c r="B39" s="73" t="s">
        <v>807</v>
      </c>
      <c r="C39" s="51" t="str">
        <f t="shared" si="1"/>
        <v>C.</v>
      </c>
      <c r="D39" s="51" t="str">
        <f t="shared" si="2"/>
        <v>I.</v>
      </c>
      <c r="E39" s="51">
        <v>2</v>
      </c>
      <c r="F39" s="69"/>
      <c r="G39" s="304" t="s">
        <v>309</v>
      </c>
      <c r="H39" s="305" t="s">
        <v>276</v>
      </c>
      <c r="I39" s="306"/>
      <c r="J39" s="202" t="str">
        <f>VLOOKUP(K39,'řádky R'!A:M,13,0)</f>
        <v>Zásoby   (ř. 33 až 38)</v>
      </c>
      <c r="K39" s="307">
        <v>32</v>
      </c>
      <c r="L39" s="279">
        <f>IF($E39=3,ROUND($A39*SUMIFS(DATA!$Y:$Y,DATA!$C:$C,INDEX!$C$12,DATA!$X:$X,L$4,DATA!$N:$N,$B39,DATA!$S:$S,$K39),0)+Q39,IF($E39=2,SUMIFS(L:L,$C:$C,$C39,$D:$D,$D39,$E:$E,3),IF($E39=1,SUMIFS(L:L,$C:$C,$C39,$E:$E,2),SUMIF($I:$I,"-",L:L))))</f>
        <v>0</v>
      </c>
      <c r="M39" s="279">
        <f>IF($E39=3,ROUND($A39*SUMIFS(DATA!$Y:$Y,DATA!$C:$C,INDEX!$C$12,DATA!$X:$X,M$4,DATA!$N:$N,$B39,DATA!$S:$S,$K39),0),IF($E39=2,SUMIFS(M:M,$C:$C,$C39,$D:$D,$D39,$E:$E,3),IF($E39=1,SUMIFS(M:M,$C:$C,$C39,$E:$E,2),SUMIF($I:$I,"-",M:M))))</f>
        <v>0</v>
      </c>
      <c r="N39" s="279">
        <f t="shared" si="3"/>
        <v>0</v>
      </c>
      <c r="O39" s="280">
        <f>IF($E39=3,ROUND($A39*SUMIFS(DATA!$Y:$Y,DATA!$C:$C,INDEX!$D$12,DATA!$N:$N,$B39,DATA!$S:$S,$K39),0)+R39,IF($E39=2,SUMIFS(O:O,$C:$C,$C39,$D:$D,$D39,$E:$E,3),IF($E39=1,SUMIFS(O:O,$C:$C,$C39,$E:$E,2),SUMIF($I:$I,"-",O:O))))</f>
        <v>0</v>
      </c>
      <c r="P39" s="14"/>
      <c r="Q39" s="65"/>
      <c r="R39" s="65"/>
    </row>
    <row r="40" spans="1:18" x14ac:dyDescent="0.2">
      <c r="A40" s="51">
        <v>1</v>
      </c>
      <c r="B40" s="73" t="s">
        <v>807</v>
      </c>
      <c r="C40" s="51" t="str">
        <f t="shared" si="1"/>
        <v>C.</v>
      </c>
      <c r="D40" s="51" t="str">
        <f t="shared" si="2"/>
        <v>I.</v>
      </c>
      <c r="E40" s="51">
        <v>3</v>
      </c>
      <c r="F40" s="69"/>
      <c r="G40" s="281" t="s">
        <v>309</v>
      </c>
      <c r="H40" s="236" t="s">
        <v>276</v>
      </c>
      <c r="I40" s="236" t="s">
        <v>277</v>
      </c>
      <c r="J40" s="208" t="str">
        <f>VLOOKUP(K40,'řádky R'!A:M,13,0)</f>
        <v>Materiál</v>
      </c>
      <c r="K40" s="282">
        <v>33</v>
      </c>
      <c r="L40" s="283">
        <f>IF($E40=3,ROUND($A40*SUMIFS(DATA!$Y:$Y,DATA!$C:$C,INDEX!$C$12,DATA!$X:$X,L$4,DATA!$N:$N,$B40,DATA!$S:$S,$K40),0)+Q40,IF($E40=2,SUMIFS(L:L,$C:$C,$C40,$D:$D,$D40,$E:$E,3),IF($E40=1,SUMIFS(L:L,$C:$C,$C40,$E:$E,2),SUMIF($I:$I,"-",L:L))))</f>
        <v>0</v>
      </c>
      <c r="M40" s="283">
        <f>IF($E40=3,ROUND($A40*SUMIFS(DATA!$Y:$Y,DATA!$C:$C,INDEX!$C$12,DATA!$X:$X,M$4,DATA!$N:$N,$B40,DATA!$S:$S,$K40),0),IF($E40=2,SUMIFS(M:M,$C:$C,$C40,$D:$D,$D40,$E:$E,3),IF($E40=1,SUMIFS(M:M,$C:$C,$C40,$E:$E,2),SUMIF($I:$I,"-",M:M))))</f>
        <v>0</v>
      </c>
      <c r="N40" s="283">
        <f t="shared" si="3"/>
        <v>0</v>
      </c>
      <c r="O40" s="284">
        <f>IF($E40=3,ROUND($A40*SUMIFS(DATA!$Y:$Y,DATA!$C:$C,INDEX!$D$12,DATA!$N:$N,$B40,DATA!$S:$S,$K40),0)+R40,IF($E40=2,SUMIFS(O:O,$C:$C,$C40,$D:$D,$D40,$E:$E,3),IF($E40=1,SUMIFS(O:O,$C:$C,$C40,$E:$E,2),SUMIF($I:$I,"-",O:O))))</f>
        <v>0</v>
      </c>
      <c r="P40" s="14"/>
      <c r="Q40" s="137"/>
      <c r="R40" s="137"/>
    </row>
    <row r="41" spans="1:18" x14ac:dyDescent="0.2">
      <c r="A41" s="51">
        <v>1</v>
      </c>
      <c r="B41" s="73" t="s">
        <v>807</v>
      </c>
      <c r="C41" s="51" t="str">
        <f t="shared" si="1"/>
        <v>C.</v>
      </c>
      <c r="D41" s="51" t="str">
        <f t="shared" si="2"/>
        <v>I.</v>
      </c>
      <c r="E41" s="51">
        <v>3</v>
      </c>
      <c r="F41" s="69"/>
      <c r="G41" s="285"/>
      <c r="H41" s="308"/>
      <c r="I41" s="236" t="s">
        <v>278</v>
      </c>
      <c r="J41" s="208" t="str">
        <f>VLOOKUP(K41,'řádky R'!A:M,13,0)</f>
        <v>Nedokončená výroba a polotovary</v>
      </c>
      <c r="K41" s="282">
        <v>34</v>
      </c>
      <c r="L41" s="283">
        <f>IF($E41=3,ROUND($A41*SUMIFS(DATA!$Y:$Y,DATA!$C:$C,INDEX!$C$12,DATA!$X:$X,L$4,DATA!$N:$N,$B41,DATA!$S:$S,$K41),0)+Q41,IF($E41=2,SUMIFS(L:L,$C:$C,$C41,$D:$D,$D41,$E:$E,3),IF($E41=1,SUMIFS(L:L,$C:$C,$C41,$E:$E,2),SUMIF($I:$I,"-",L:L))))</f>
        <v>0</v>
      </c>
      <c r="M41" s="283">
        <f>IF($E41=3,ROUND($A41*SUMIFS(DATA!$Y:$Y,DATA!$C:$C,INDEX!$C$12,DATA!$X:$X,M$4,DATA!$N:$N,$B41,DATA!$S:$S,$K41),0),IF($E41=2,SUMIFS(M:M,$C:$C,$C41,$D:$D,$D41,$E:$E,3),IF($E41=1,SUMIFS(M:M,$C:$C,$C41,$E:$E,2),SUMIF($I:$I,"-",M:M))))</f>
        <v>0</v>
      </c>
      <c r="N41" s="283">
        <f t="shared" si="3"/>
        <v>0</v>
      </c>
      <c r="O41" s="284">
        <f>IF($E41=3,ROUND($A41*SUMIFS(DATA!$Y:$Y,DATA!$C:$C,INDEX!$D$12,DATA!$N:$N,$B41,DATA!$S:$S,$K41),0)+R41,IF($E41=2,SUMIFS(O:O,$C:$C,$C41,$D:$D,$D41,$E:$E,3),IF($E41=1,SUMIFS(O:O,$C:$C,$C41,$E:$E,2),SUMIF($I:$I,"-",O:O))))</f>
        <v>0</v>
      </c>
      <c r="P41" s="14"/>
      <c r="Q41" s="137"/>
      <c r="R41" s="137"/>
    </row>
    <row r="42" spans="1:18" x14ac:dyDescent="0.2">
      <c r="A42" s="51">
        <v>1</v>
      </c>
      <c r="B42" s="73" t="s">
        <v>807</v>
      </c>
      <c r="C42" s="51" t="str">
        <f t="shared" si="1"/>
        <v>C.</v>
      </c>
      <c r="D42" s="51" t="str">
        <f t="shared" si="2"/>
        <v>I.</v>
      </c>
      <c r="E42" s="51">
        <v>3</v>
      </c>
      <c r="F42" s="69"/>
      <c r="G42" s="309"/>
      <c r="H42" s="308"/>
      <c r="I42" s="236" t="s">
        <v>279</v>
      </c>
      <c r="J42" s="208" t="str">
        <f>VLOOKUP(K42,'řádky R'!A:M,13,0)</f>
        <v>Výrobky</v>
      </c>
      <c r="K42" s="282">
        <v>35</v>
      </c>
      <c r="L42" s="283">
        <f>IF($E42=3,ROUND($A42*SUMIFS(DATA!$Y:$Y,DATA!$C:$C,INDEX!$C$12,DATA!$X:$X,L$4,DATA!$N:$N,$B42,DATA!$S:$S,$K42),0)+Q42,IF($E42=2,SUMIFS(L:L,$C:$C,$C42,$D:$D,$D42,$E:$E,3),IF($E42=1,SUMIFS(L:L,$C:$C,$C42,$E:$E,2),SUMIF($I:$I,"-",L:L))))</f>
        <v>0</v>
      </c>
      <c r="M42" s="283">
        <f>IF($E42=3,ROUND($A42*SUMIFS(DATA!$Y:$Y,DATA!$C:$C,INDEX!$C$12,DATA!$X:$X,M$4,DATA!$N:$N,$B42,DATA!$S:$S,$K42),0),IF($E42=2,SUMIFS(M:M,$C:$C,$C42,$D:$D,$D42,$E:$E,3),IF($E42=1,SUMIFS(M:M,$C:$C,$C42,$E:$E,2),SUMIF($I:$I,"-",M:M))))</f>
        <v>0</v>
      </c>
      <c r="N42" s="283">
        <f t="shared" si="3"/>
        <v>0</v>
      </c>
      <c r="O42" s="284">
        <f>IF($E42=3,ROUND($A42*SUMIFS(DATA!$Y:$Y,DATA!$C:$C,INDEX!$D$12,DATA!$N:$N,$B42,DATA!$S:$S,$K42),0)+R42,IF($E42=2,SUMIFS(O:O,$C:$C,$C42,$D:$D,$D42,$E:$E,3),IF($E42=1,SUMIFS(O:O,$C:$C,$C42,$E:$E,2),SUMIF($I:$I,"-",O:O))))</f>
        <v>0</v>
      </c>
      <c r="P42" s="14"/>
      <c r="Q42" s="137"/>
      <c r="R42" s="137"/>
    </row>
    <row r="43" spans="1:18" x14ac:dyDescent="0.2">
      <c r="A43" s="51">
        <v>1</v>
      </c>
      <c r="B43" s="73" t="s">
        <v>807</v>
      </c>
      <c r="C43" s="51" t="str">
        <f t="shared" si="1"/>
        <v>C.</v>
      </c>
      <c r="D43" s="51" t="str">
        <f t="shared" si="2"/>
        <v>I.</v>
      </c>
      <c r="E43" s="51">
        <v>3</v>
      </c>
      <c r="F43" s="69"/>
      <c r="G43" s="309"/>
      <c r="H43" s="308"/>
      <c r="I43" s="236" t="s">
        <v>280</v>
      </c>
      <c r="J43" s="208" t="str">
        <f>VLOOKUP(K43,'řádky R'!A:M,13,0)</f>
        <v>Mladá a ostatní zvířata a jejich skupiny</v>
      </c>
      <c r="K43" s="282">
        <v>36</v>
      </c>
      <c r="L43" s="283">
        <f>IF($E43=3,ROUND($A43*SUMIFS(DATA!$Y:$Y,DATA!$C:$C,INDEX!$C$12,DATA!$X:$X,L$4,DATA!$N:$N,$B43,DATA!$S:$S,$K43),0)+Q43,IF($E43=2,SUMIFS(L:L,$C:$C,$C43,$D:$D,$D43,$E:$E,3),IF($E43=1,SUMIFS(L:L,$C:$C,$C43,$E:$E,2),SUMIF($I:$I,"-",L:L))))</f>
        <v>0</v>
      </c>
      <c r="M43" s="283">
        <f>IF($E43=3,ROUND($A43*SUMIFS(DATA!$Y:$Y,DATA!$C:$C,INDEX!$C$12,DATA!$X:$X,M$4,DATA!$N:$N,$B43,DATA!$S:$S,$K43),0),IF($E43=2,SUMIFS(M:M,$C:$C,$C43,$D:$D,$D43,$E:$E,3),IF($E43=1,SUMIFS(M:M,$C:$C,$C43,$E:$E,2),SUMIF($I:$I,"-",M:M))))</f>
        <v>0</v>
      </c>
      <c r="N43" s="283">
        <f t="shared" si="3"/>
        <v>0</v>
      </c>
      <c r="O43" s="284">
        <f>IF($E43=3,ROUND($A43*SUMIFS(DATA!$Y:$Y,DATA!$C:$C,INDEX!$D$12,DATA!$N:$N,$B43,DATA!$S:$S,$K43),0)+R43,IF($E43=2,SUMIFS(O:O,$C:$C,$C43,$D:$D,$D43,$E:$E,3),IF($E43=1,SUMIFS(O:O,$C:$C,$C43,$E:$E,2),SUMIF($I:$I,"-",O:O))))</f>
        <v>0</v>
      </c>
      <c r="P43" s="14"/>
      <c r="Q43" s="137"/>
      <c r="R43" s="137"/>
    </row>
    <row r="44" spans="1:18" x14ac:dyDescent="0.2">
      <c r="A44" s="51">
        <v>1</v>
      </c>
      <c r="B44" s="73" t="s">
        <v>807</v>
      </c>
      <c r="C44" s="51" t="str">
        <f t="shared" si="1"/>
        <v>C.</v>
      </c>
      <c r="D44" s="51" t="str">
        <f t="shared" si="2"/>
        <v>I.</v>
      </c>
      <c r="E44" s="51">
        <v>3</v>
      </c>
      <c r="F44" s="69"/>
      <c r="G44" s="309"/>
      <c r="H44" s="308"/>
      <c r="I44" s="236" t="s">
        <v>281</v>
      </c>
      <c r="J44" s="208" t="str">
        <f>VLOOKUP(K44,'řádky R'!A:M,13,0)</f>
        <v>Zboží</v>
      </c>
      <c r="K44" s="282">
        <v>37</v>
      </c>
      <c r="L44" s="283">
        <f>IF($E44=3,ROUND($A44*SUMIFS(DATA!$Y:$Y,DATA!$C:$C,INDEX!$C$12,DATA!$X:$X,L$4,DATA!$N:$N,$B44,DATA!$S:$S,$K44),0)+Q44,IF($E44=2,SUMIFS(L:L,$C:$C,$C44,$D:$D,$D44,$E:$E,3),IF($E44=1,SUMIFS(L:L,$C:$C,$C44,$E:$E,2),SUMIF($I:$I,"-",L:L))))</f>
        <v>0</v>
      </c>
      <c r="M44" s="283">
        <f>IF($E44=3,ROUND($A44*SUMIFS(DATA!$Y:$Y,DATA!$C:$C,INDEX!$C$12,DATA!$X:$X,M$4,DATA!$N:$N,$B44,DATA!$S:$S,$K44),0),IF($E44=2,SUMIFS(M:M,$C:$C,$C44,$D:$D,$D44,$E:$E,3),IF($E44=1,SUMIFS(M:M,$C:$C,$C44,$E:$E,2),SUMIF($I:$I,"-",M:M))))</f>
        <v>0</v>
      </c>
      <c r="N44" s="283">
        <f t="shared" si="3"/>
        <v>0</v>
      </c>
      <c r="O44" s="284">
        <f>IF($E44=3,ROUND($A44*SUMIFS(DATA!$Y:$Y,DATA!$C:$C,INDEX!$D$12,DATA!$N:$N,$B44,DATA!$S:$S,$K44),0)+R44,IF($E44=2,SUMIFS(O:O,$C:$C,$C44,$D:$D,$D44,$E:$E,3),IF($E44=1,SUMIFS(O:O,$C:$C,$C44,$E:$E,2),SUMIF($I:$I,"-",O:O))))</f>
        <v>0</v>
      </c>
      <c r="P44" s="14"/>
      <c r="Q44" s="137"/>
      <c r="R44" s="137"/>
    </row>
    <row r="45" spans="1:18" x14ac:dyDescent="0.2">
      <c r="A45" s="51">
        <v>1</v>
      </c>
      <c r="B45" s="73" t="s">
        <v>807</v>
      </c>
      <c r="C45" s="51" t="str">
        <f t="shared" si="1"/>
        <v>C.</v>
      </c>
      <c r="D45" s="51" t="str">
        <f t="shared" si="2"/>
        <v>I.</v>
      </c>
      <c r="E45" s="51">
        <v>3</v>
      </c>
      <c r="F45" s="69"/>
      <c r="G45" s="310"/>
      <c r="H45" s="311"/>
      <c r="I45" s="292" t="s">
        <v>282</v>
      </c>
      <c r="J45" s="288" t="str">
        <f>VLOOKUP(K45,'řádky R'!A:M,13,0)</f>
        <v>Poskytnuté zálohy na zásoby</v>
      </c>
      <c r="K45" s="289">
        <v>38</v>
      </c>
      <c r="L45" s="290">
        <f>IF($E45=3,ROUND($A45*SUMIFS(DATA!$Y:$Y,DATA!$C:$C,INDEX!$C$12,DATA!$X:$X,L$4,DATA!$N:$N,$B45,DATA!$S:$S,$K45),0)+Q45,IF($E45=2,SUMIFS(L:L,$C:$C,$C45,$D:$D,$D45,$E:$E,3),IF($E45=1,SUMIFS(L:L,$C:$C,$C45,$E:$E,2),SUMIF($I:$I,"-",L:L))))</f>
        <v>0</v>
      </c>
      <c r="M45" s="290">
        <f>IF($E45=3,ROUND($A45*SUMIFS(DATA!$Y:$Y,DATA!$C:$C,INDEX!$C$12,DATA!$X:$X,M$4,DATA!$N:$N,$B45,DATA!$S:$S,$K45),0),IF($E45=2,SUMIFS(M:M,$C:$C,$C45,$D:$D,$D45,$E:$E,3),IF($E45=1,SUMIFS(M:M,$C:$C,$C45,$E:$E,2),SUMIF($I:$I,"-",M:M))))</f>
        <v>0</v>
      </c>
      <c r="N45" s="290">
        <f t="shared" si="3"/>
        <v>0</v>
      </c>
      <c r="O45" s="291">
        <f>IF($E45=3,ROUND($A45*SUMIFS(DATA!$Y:$Y,DATA!$C:$C,INDEX!$D$12,DATA!$N:$N,$B45,DATA!$S:$S,$K45),0)+R45,IF($E45=2,SUMIFS(O:O,$C:$C,$C45,$D:$D,$D45,$E:$E,3),IF($E45=1,SUMIFS(O:O,$C:$C,$C45,$E:$E,2),SUMIF($I:$I,"-",O:O))))</f>
        <v>0</v>
      </c>
      <c r="P45" s="14"/>
      <c r="Q45" s="137"/>
      <c r="R45" s="137"/>
    </row>
    <row r="46" spans="1:18" x14ac:dyDescent="0.2">
      <c r="A46" s="51">
        <v>1</v>
      </c>
      <c r="B46" s="73" t="s">
        <v>807</v>
      </c>
      <c r="C46" s="51" t="str">
        <f t="shared" si="1"/>
        <v>C.</v>
      </c>
      <c r="D46" s="51" t="str">
        <f t="shared" si="2"/>
        <v>II.</v>
      </c>
      <c r="E46" s="51">
        <v>2</v>
      </c>
      <c r="F46" s="69"/>
      <c r="G46" s="304" t="s">
        <v>309</v>
      </c>
      <c r="H46" s="305" t="s">
        <v>286</v>
      </c>
      <c r="I46" s="306"/>
      <c r="J46" s="202" t="str">
        <f>VLOOKUP(K46,'řádky R'!A:M,13,0)</f>
        <v>Dlouhodobé pohledávky  (ř. 40 až 47)</v>
      </c>
      <c r="K46" s="307">
        <v>39</v>
      </c>
      <c r="L46" s="279">
        <f>IF($E46=3,ROUND($A46*SUMIFS(DATA!$Y:$Y,DATA!$C:$C,INDEX!$C$12,DATA!$X:$X,L$4,DATA!$N:$N,$B46,DATA!$S:$S,$K46),0)+Q46,IF($E46=2,SUMIFS(L:L,$C:$C,$C46,$D:$D,$D46,$E:$E,3),IF($E46=1,SUMIFS(L:L,$C:$C,$C46,$E:$E,2),SUMIF($I:$I,"-",L:L))))</f>
        <v>0</v>
      </c>
      <c r="M46" s="279">
        <f>IF($E46=3,ROUND($A46*SUMIFS(DATA!$Y:$Y,DATA!$C:$C,INDEX!$C$12,DATA!$X:$X,M$4,DATA!$N:$N,$B46,DATA!$S:$S,$K46),0),IF($E46=2,SUMIFS(M:M,$C:$C,$C46,$D:$D,$D46,$E:$E,3),IF($E46=1,SUMIFS(M:M,$C:$C,$C46,$E:$E,2),SUMIF($I:$I,"-",M:M))))</f>
        <v>0</v>
      </c>
      <c r="N46" s="279">
        <f t="shared" si="3"/>
        <v>0</v>
      </c>
      <c r="O46" s="280">
        <f>IF($E46=3,ROUND($A46*SUMIFS(DATA!$Y:$Y,DATA!$C:$C,INDEX!$D$12,DATA!$N:$N,$B46,DATA!$S:$S,$K46),0)+R46,IF($E46=2,SUMIFS(O:O,$C:$C,$C46,$D:$D,$D46,$E:$E,3),IF($E46=1,SUMIFS(O:O,$C:$C,$C46,$E:$E,2),SUMIF($I:$I,"-",O:O))))</f>
        <v>0</v>
      </c>
      <c r="P46" s="14"/>
      <c r="Q46" s="65"/>
      <c r="R46" s="65"/>
    </row>
    <row r="47" spans="1:18" x14ac:dyDescent="0.2">
      <c r="A47" s="51">
        <v>1</v>
      </c>
      <c r="B47" s="73" t="s">
        <v>807</v>
      </c>
      <c r="C47" s="51" t="str">
        <f t="shared" si="1"/>
        <v>C.</v>
      </c>
      <c r="D47" s="51" t="str">
        <f t="shared" si="2"/>
        <v>II.</v>
      </c>
      <c r="E47" s="51">
        <v>3</v>
      </c>
      <c r="F47" s="69"/>
      <c r="G47" s="281" t="s">
        <v>309</v>
      </c>
      <c r="H47" s="236" t="s">
        <v>286</v>
      </c>
      <c r="I47" s="236" t="s">
        <v>277</v>
      </c>
      <c r="J47" s="208" t="str">
        <f>VLOOKUP(K47,'řádky R'!A:M,13,0)</f>
        <v>Pohledávky z obchodních vztahů</v>
      </c>
      <c r="K47" s="282">
        <v>40</v>
      </c>
      <c r="L47" s="283">
        <f>IF($E47=3,ROUND($A47*SUMIFS(DATA!$Y:$Y,DATA!$C:$C,INDEX!$C$12,DATA!$X:$X,L$4,DATA!$N:$N,$B47,DATA!$S:$S,$K47),0)+Q47,IF($E47=2,SUMIFS(L:L,$C:$C,$C47,$D:$D,$D47,$E:$E,3),IF($E47=1,SUMIFS(L:L,$C:$C,$C47,$E:$E,2),SUMIF($I:$I,"-",L:L))))</f>
        <v>0</v>
      </c>
      <c r="M47" s="283">
        <f>IF($E47=3,ROUND($A47*SUMIFS(DATA!$Y:$Y,DATA!$C:$C,INDEX!$C$12,DATA!$X:$X,M$4,DATA!$N:$N,$B47,DATA!$S:$S,$K47),0),IF($E47=2,SUMIFS(M:M,$C:$C,$C47,$D:$D,$D47,$E:$E,3),IF($E47=1,SUMIFS(M:M,$C:$C,$C47,$E:$E,2),SUMIF($I:$I,"-",M:M))))</f>
        <v>0</v>
      </c>
      <c r="N47" s="283">
        <f t="shared" si="3"/>
        <v>0</v>
      </c>
      <c r="O47" s="284">
        <f>IF($E47=3,ROUND($A47*SUMIFS(DATA!$Y:$Y,DATA!$C:$C,INDEX!$D$12,DATA!$N:$N,$B47,DATA!$S:$S,$K47),0)+R47,IF($E47=2,SUMIFS(O:O,$C:$C,$C47,$D:$D,$D47,$E:$E,3),IF($E47=1,SUMIFS(O:O,$C:$C,$C47,$E:$E,2),SUMIF($I:$I,"-",O:O))))</f>
        <v>0</v>
      </c>
      <c r="P47" s="14"/>
      <c r="Q47" s="137"/>
      <c r="R47" s="137"/>
    </row>
    <row r="48" spans="1:18" x14ac:dyDescent="0.2">
      <c r="A48" s="51">
        <v>1</v>
      </c>
      <c r="B48" s="73" t="s">
        <v>807</v>
      </c>
      <c r="C48" s="51" t="str">
        <f t="shared" si="1"/>
        <v>C.</v>
      </c>
      <c r="D48" s="51" t="str">
        <f t="shared" si="2"/>
        <v>II.</v>
      </c>
      <c r="E48" s="51">
        <v>3</v>
      </c>
      <c r="F48" s="69"/>
      <c r="G48" s="285"/>
      <c r="H48" s="308"/>
      <c r="I48" s="236" t="s">
        <v>278</v>
      </c>
      <c r="J48" s="208" t="str">
        <f>VLOOKUP(K48,'řádky R'!A:M,13,0)</f>
        <v>Pohledávky - ovládaná nebo ovládající osoba</v>
      </c>
      <c r="K48" s="282">
        <v>41</v>
      </c>
      <c r="L48" s="283">
        <f>IF($E48=3,ROUND($A48*SUMIFS(DATA!$Y:$Y,DATA!$C:$C,INDEX!$C$12,DATA!$X:$X,L$4,DATA!$N:$N,$B48,DATA!$S:$S,$K48),0)+Q48,IF($E48=2,SUMIFS(L:L,$C:$C,$C48,$D:$D,$D48,$E:$E,3),IF($E48=1,SUMIFS(L:L,$C:$C,$C48,$E:$E,2),SUMIF($I:$I,"-",L:L))))</f>
        <v>0</v>
      </c>
      <c r="M48" s="283">
        <f>IF($E48=3,ROUND($A48*SUMIFS(DATA!$Y:$Y,DATA!$C:$C,INDEX!$C$12,DATA!$X:$X,M$4,DATA!$N:$N,$B48,DATA!$S:$S,$K48),0),IF($E48=2,SUMIFS(M:M,$C:$C,$C48,$D:$D,$D48,$E:$E,3),IF($E48=1,SUMIFS(M:M,$C:$C,$C48,$E:$E,2),SUMIF($I:$I,"-",M:M))))</f>
        <v>0</v>
      </c>
      <c r="N48" s="283">
        <f t="shared" si="3"/>
        <v>0</v>
      </c>
      <c r="O48" s="284">
        <f>IF($E48=3,ROUND($A48*SUMIFS(DATA!$Y:$Y,DATA!$C:$C,INDEX!$D$12,DATA!$N:$N,$B48,DATA!$S:$S,$K48),0)+R48,IF($E48=2,SUMIFS(O:O,$C:$C,$C48,$D:$D,$D48,$E:$E,3),IF($E48=1,SUMIFS(O:O,$C:$C,$C48,$E:$E,2),SUMIF($I:$I,"-",O:O))))</f>
        <v>0</v>
      </c>
      <c r="P48" s="14"/>
      <c r="Q48" s="137"/>
      <c r="R48" s="137"/>
    </row>
    <row r="49" spans="1:18" x14ac:dyDescent="0.2">
      <c r="A49" s="51">
        <v>1</v>
      </c>
      <c r="B49" s="73" t="s">
        <v>807</v>
      </c>
      <c r="C49" s="51" t="str">
        <f t="shared" si="1"/>
        <v>C.</v>
      </c>
      <c r="D49" s="51" t="str">
        <f t="shared" si="2"/>
        <v>II.</v>
      </c>
      <c r="E49" s="51">
        <v>3</v>
      </c>
      <c r="F49" s="69"/>
      <c r="G49" s="309"/>
      <c r="H49" s="308"/>
      <c r="I49" s="236" t="s">
        <v>279</v>
      </c>
      <c r="J49" s="208" t="str">
        <f>VLOOKUP(K49,'řádky R'!A:M,13,0)</f>
        <v>Pohledávky - podstatný vliv</v>
      </c>
      <c r="K49" s="282">
        <v>42</v>
      </c>
      <c r="L49" s="283">
        <f>IF($E49=3,ROUND($A49*SUMIFS(DATA!$Y:$Y,DATA!$C:$C,INDEX!$C$12,DATA!$X:$X,L$4,DATA!$N:$N,$B49,DATA!$S:$S,$K49),0)+Q49,IF($E49=2,SUMIFS(L:L,$C:$C,$C49,$D:$D,$D49,$E:$E,3),IF($E49=1,SUMIFS(L:L,$C:$C,$C49,$E:$E,2),SUMIF($I:$I,"-",L:L))))</f>
        <v>0</v>
      </c>
      <c r="M49" s="283">
        <f>IF($E49=3,ROUND($A49*SUMIFS(DATA!$Y:$Y,DATA!$C:$C,INDEX!$C$12,DATA!$X:$X,M$4,DATA!$N:$N,$B49,DATA!$S:$S,$K49),0),IF($E49=2,SUMIFS(M:M,$C:$C,$C49,$D:$D,$D49,$E:$E,3),IF($E49=1,SUMIFS(M:M,$C:$C,$C49,$E:$E,2),SUMIF($I:$I,"-",M:M))))</f>
        <v>0</v>
      </c>
      <c r="N49" s="283">
        <f t="shared" si="3"/>
        <v>0</v>
      </c>
      <c r="O49" s="284">
        <f>IF($E49=3,ROUND($A49*SUMIFS(DATA!$Y:$Y,DATA!$C:$C,INDEX!$D$12,DATA!$N:$N,$B49,DATA!$S:$S,$K49),0)+R49,IF($E49=2,SUMIFS(O:O,$C:$C,$C49,$D:$D,$D49,$E:$E,3),IF($E49=1,SUMIFS(O:O,$C:$C,$C49,$E:$E,2),SUMIF($I:$I,"-",O:O))))</f>
        <v>0</v>
      </c>
      <c r="P49" s="14"/>
      <c r="Q49" s="137"/>
      <c r="R49" s="137"/>
    </row>
    <row r="50" spans="1:18" x14ac:dyDescent="0.2">
      <c r="A50" s="51">
        <v>1</v>
      </c>
      <c r="B50" s="73" t="s">
        <v>807</v>
      </c>
      <c r="C50" s="51" t="str">
        <f t="shared" si="1"/>
        <v>C.</v>
      </c>
      <c r="D50" s="51" t="str">
        <f t="shared" si="2"/>
        <v>II.</v>
      </c>
      <c r="E50" s="51">
        <v>3</v>
      </c>
      <c r="F50" s="69"/>
      <c r="G50" s="309"/>
      <c r="H50" s="308"/>
      <c r="I50" s="236" t="s">
        <v>280</v>
      </c>
      <c r="J50" s="208" t="str">
        <f>VLOOKUP(K50,'řádky R'!A:M,13,0)</f>
        <v>Pohledávky za společníky, členy družstva  a za účastníky sdružení</v>
      </c>
      <c r="K50" s="282">
        <v>43</v>
      </c>
      <c r="L50" s="283">
        <f>IF($E50=3,ROUND($A50*SUMIFS(DATA!$Y:$Y,DATA!$C:$C,INDEX!$C$12,DATA!$X:$X,L$4,DATA!$N:$N,$B50,DATA!$S:$S,$K50),0)+Q50,IF($E50=2,SUMIFS(L:L,$C:$C,$C50,$D:$D,$D50,$E:$E,3),IF($E50=1,SUMIFS(L:L,$C:$C,$C50,$E:$E,2),SUMIF($I:$I,"-",L:L))))</f>
        <v>0</v>
      </c>
      <c r="M50" s="283">
        <f>IF($E50=3,ROUND($A50*SUMIFS(DATA!$Y:$Y,DATA!$C:$C,INDEX!$C$12,DATA!$X:$X,M$4,DATA!$N:$N,$B50,DATA!$S:$S,$K50),0),IF($E50=2,SUMIFS(M:M,$C:$C,$C50,$D:$D,$D50,$E:$E,3),IF($E50=1,SUMIFS(M:M,$C:$C,$C50,$E:$E,2),SUMIF($I:$I,"-",M:M))))</f>
        <v>0</v>
      </c>
      <c r="N50" s="283">
        <f t="shared" si="3"/>
        <v>0</v>
      </c>
      <c r="O50" s="284">
        <f>IF($E50=3,ROUND($A50*SUMIFS(DATA!$Y:$Y,DATA!$C:$C,INDEX!$D$12,DATA!$N:$N,$B50,DATA!$S:$S,$K50),0)+R50,IF($E50=2,SUMIFS(O:O,$C:$C,$C50,$D:$D,$D50,$E:$E,3),IF($E50=1,SUMIFS(O:O,$C:$C,$C50,$E:$E,2),SUMIF($I:$I,"-",O:O))))</f>
        <v>0</v>
      </c>
      <c r="P50" s="14"/>
      <c r="Q50" s="137"/>
      <c r="R50" s="137"/>
    </row>
    <row r="51" spans="1:18" x14ac:dyDescent="0.2">
      <c r="A51" s="51">
        <v>1</v>
      </c>
      <c r="B51" s="73" t="s">
        <v>807</v>
      </c>
      <c r="C51" s="51" t="str">
        <f t="shared" si="1"/>
        <v>C.</v>
      </c>
      <c r="D51" s="51" t="str">
        <f t="shared" si="2"/>
        <v>II.</v>
      </c>
      <c r="E51" s="51">
        <v>3</v>
      </c>
      <c r="F51" s="69"/>
      <c r="G51" s="309"/>
      <c r="H51" s="308"/>
      <c r="I51" s="236" t="s">
        <v>281</v>
      </c>
      <c r="J51" s="208" t="str">
        <f>VLOOKUP(K51,'řádky R'!A:M,13,0)</f>
        <v>Dlouhodobé poskytnuté zálohy</v>
      </c>
      <c r="K51" s="282">
        <v>44</v>
      </c>
      <c r="L51" s="283">
        <f>IF($E51=3,ROUND($A51*SUMIFS(DATA!$Y:$Y,DATA!$C:$C,INDEX!$C$12,DATA!$X:$X,L$4,DATA!$N:$N,$B51,DATA!$S:$S,$K51),0)+Q51,IF($E51=2,SUMIFS(L:L,$C:$C,$C51,$D:$D,$D51,$E:$E,3),IF($E51=1,SUMIFS(L:L,$C:$C,$C51,$E:$E,2),SUMIF($I:$I,"-",L:L))))</f>
        <v>0</v>
      </c>
      <c r="M51" s="283">
        <f>IF($E51=3,ROUND($A51*SUMIFS(DATA!$Y:$Y,DATA!$C:$C,INDEX!$C$12,DATA!$X:$X,M$4,DATA!$N:$N,$B51,DATA!$S:$S,$K51),0),IF($E51=2,SUMIFS(M:M,$C:$C,$C51,$D:$D,$D51,$E:$E,3),IF($E51=1,SUMIFS(M:M,$C:$C,$C51,$E:$E,2),SUMIF($I:$I,"-",M:M))))</f>
        <v>0</v>
      </c>
      <c r="N51" s="283">
        <f t="shared" si="3"/>
        <v>0</v>
      </c>
      <c r="O51" s="284">
        <f>IF($E51=3,ROUND($A51*SUMIFS(DATA!$Y:$Y,DATA!$C:$C,INDEX!$D$12,DATA!$N:$N,$B51,DATA!$S:$S,$K51),0)+R51,IF($E51=2,SUMIFS(O:O,$C:$C,$C51,$D:$D,$D51,$E:$E,3),IF($E51=1,SUMIFS(O:O,$C:$C,$C51,$E:$E,2),SUMIF($I:$I,"-",O:O))))</f>
        <v>0</v>
      </c>
      <c r="P51" s="14"/>
      <c r="Q51" s="137"/>
      <c r="R51" s="137"/>
    </row>
    <row r="52" spans="1:18" x14ac:dyDescent="0.2">
      <c r="A52" s="51">
        <v>1</v>
      </c>
      <c r="B52" s="73" t="s">
        <v>807</v>
      </c>
      <c r="C52" s="51" t="str">
        <f t="shared" si="1"/>
        <v>C.</v>
      </c>
      <c r="D52" s="51" t="str">
        <f t="shared" si="2"/>
        <v>II.</v>
      </c>
      <c r="E52" s="51">
        <v>3</v>
      </c>
      <c r="F52" s="69"/>
      <c r="G52" s="309"/>
      <c r="H52" s="308"/>
      <c r="I52" s="253" t="s">
        <v>282</v>
      </c>
      <c r="J52" s="208" t="str">
        <f>VLOOKUP(K52,'řádky R'!A:M,13,0)</f>
        <v>Dohadné účty aktivní</v>
      </c>
      <c r="K52" s="282">
        <v>45</v>
      </c>
      <c r="L52" s="283">
        <f>IF($E52=3,ROUND($A52*SUMIFS(DATA!$Y:$Y,DATA!$C:$C,INDEX!$C$12,DATA!$X:$X,L$4,DATA!$N:$N,$B52,DATA!$S:$S,$K52),0)+Q52,IF($E52=2,SUMIFS(L:L,$C:$C,$C52,$D:$D,$D52,$E:$E,3),IF($E52=1,SUMIFS(L:L,$C:$C,$C52,$E:$E,2),SUMIF($I:$I,"-",L:L))))</f>
        <v>0</v>
      </c>
      <c r="M52" s="283">
        <f>IF($E52=3,ROUND($A52*SUMIFS(DATA!$Y:$Y,DATA!$C:$C,INDEX!$C$12,DATA!$X:$X,M$4,DATA!$N:$N,$B52,DATA!$S:$S,$K52),0),IF($E52=2,SUMIFS(M:M,$C:$C,$C52,$D:$D,$D52,$E:$E,3),IF($E52=1,SUMIFS(M:M,$C:$C,$C52,$E:$E,2),SUMIF($I:$I,"-",M:M))))</f>
        <v>0</v>
      </c>
      <c r="N52" s="283">
        <f t="shared" si="3"/>
        <v>0</v>
      </c>
      <c r="O52" s="284">
        <f>IF($E52=3,ROUND($A52*SUMIFS(DATA!$Y:$Y,DATA!$C:$C,INDEX!$D$12,DATA!$N:$N,$B52,DATA!$S:$S,$K52),0)+R52,IF($E52=2,SUMIFS(O:O,$C:$C,$C52,$D:$D,$D52,$E:$E,3),IF($E52=1,SUMIFS(O:O,$C:$C,$C52,$E:$E,2),SUMIF($I:$I,"-",O:O))))</f>
        <v>0</v>
      </c>
      <c r="P52" s="14"/>
      <c r="Q52" s="137"/>
      <c r="R52" s="137"/>
    </row>
    <row r="53" spans="1:18" x14ac:dyDescent="0.2">
      <c r="A53" s="51">
        <v>1</v>
      </c>
      <c r="B53" s="73" t="s">
        <v>807</v>
      </c>
      <c r="C53" s="51" t="str">
        <f t="shared" si="1"/>
        <v>C.</v>
      </c>
      <c r="D53" s="51" t="str">
        <f t="shared" si="2"/>
        <v>II.</v>
      </c>
      <c r="E53" s="51">
        <v>3</v>
      </c>
      <c r="F53" s="69"/>
      <c r="G53" s="309"/>
      <c r="H53" s="308"/>
      <c r="I53" s="253" t="s">
        <v>283</v>
      </c>
      <c r="J53" s="208" t="str">
        <f>VLOOKUP(K53,'řádky R'!A:M,13,0)</f>
        <v>Jiné pohledávky</v>
      </c>
      <c r="K53" s="282">
        <v>46</v>
      </c>
      <c r="L53" s="283">
        <f>IF($E53=3,ROUND($A53*SUMIFS(DATA!$Y:$Y,DATA!$C:$C,INDEX!$C$12,DATA!$X:$X,L$4,DATA!$N:$N,$B53,DATA!$S:$S,$K53),0)+Q53,IF($E53=2,SUMIFS(L:L,$C:$C,$C53,$D:$D,$D53,$E:$E,3),IF($E53=1,SUMIFS(L:L,$C:$C,$C53,$E:$E,2),SUMIF($I:$I,"-",L:L))))</f>
        <v>0</v>
      </c>
      <c r="M53" s="283">
        <f>IF($E53=3,ROUND($A53*SUMIFS(DATA!$Y:$Y,DATA!$C:$C,INDEX!$C$12,DATA!$X:$X,M$4,DATA!$N:$N,$B53,DATA!$S:$S,$K53),0),IF($E53=2,SUMIFS(M:M,$C:$C,$C53,$D:$D,$D53,$E:$E,3),IF($E53=1,SUMIFS(M:M,$C:$C,$C53,$E:$E,2),SUMIF($I:$I,"-",M:M))))</f>
        <v>0</v>
      </c>
      <c r="N53" s="283">
        <f t="shared" si="3"/>
        <v>0</v>
      </c>
      <c r="O53" s="284">
        <f>IF($E53=3,ROUND($A53*SUMIFS(DATA!$Y:$Y,DATA!$C:$C,INDEX!$D$12,DATA!$N:$N,$B53,DATA!$S:$S,$K53),0)+R53,IF($E53=2,SUMIFS(O:O,$C:$C,$C53,$D:$D,$D53,$E:$E,3),IF($E53=1,SUMIFS(O:O,$C:$C,$C53,$E:$E,2),SUMIF($I:$I,"-",O:O))))</f>
        <v>0</v>
      </c>
      <c r="P53" s="14"/>
      <c r="Q53" s="137"/>
      <c r="R53" s="137"/>
    </row>
    <row r="54" spans="1:18" x14ac:dyDescent="0.2">
      <c r="A54" s="51">
        <v>1</v>
      </c>
      <c r="B54" s="73" t="s">
        <v>807</v>
      </c>
      <c r="C54" s="51" t="str">
        <f t="shared" si="1"/>
        <v>C.</v>
      </c>
      <c r="D54" s="51" t="str">
        <f t="shared" si="2"/>
        <v>II.</v>
      </c>
      <c r="E54" s="51">
        <v>3</v>
      </c>
      <c r="F54" s="69"/>
      <c r="G54" s="310"/>
      <c r="H54" s="311"/>
      <c r="I54" s="312" t="s">
        <v>284</v>
      </c>
      <c r="J54" s="288" t="str">
        <f>VLOOKUP(K54,'řádky R'!A:M,13,0)</f>
        <v>Odložená daňová pohledávka</v>
      </c>
      <c r="K54" s="289">
        <v>47</v>
      </c>
      <c r="L54" s="290">
        <f>IF($E54=3,ROUND($A54*SUMIFS(DATA!$Y:$Y,DATA!$C:$C,INDEX!$C$12,DATA!$X:$X,L$4,DATA!$N:$N,$B54,DATA!$S:$S,$K54),0)+Q54,IF($E54=2,SUMIFS(L:L,$C:$C,$C54,$D:$D,$D54,$E:$E,3),IF($E54=1,SUMIFS(L:L,$C:$C,$C54,$E:$E,2),SUMIF($I:$I,"-",L:L))))</f>
        <v>0</v>
      </c>
      <c r="M54" s="290">
        <f>IF($E54=3,ROUND($A54*SUMIFS(DATA!$Y:$Y,DATA!$C:$C,INDEX!$C$12,DATA!$X:$X,M$4,DATA!$N:$N,$B54,DATA!$S:$S,$K54),0),IF($E54=2,SUMIFS(M:M,$C:$C,$C54,$D:$D,$D54,$E:$E,3),IF($E54=1,SUMIFS(M:M,$C:$C,$C54,$E:$E,2),SUMIF($I:$I,"-",M:M))))</f>
        <v>0</v>
      </c>
      <c r="N54" s="290">
        <f t="shared" si="3"/>
        <v>0</v>
      </c>
      <c r="O54" s="291">
        <f>IF($E54=3,ROUND($A54*SUMIFS(DATA!$Y:$Y,DATA!$C:$C,INDEX!$D$12,DATA!$N:$N,$B54,DATA!$S:$S,$K54),0)+R54,IF($E54=2,SUMIFS(O:O,$C:$C,$C54,$D:$D,$D54,$E:$E,3),IF($E54=1,SUMIFS(O:O,$C:$C,$C54,$E:$E,2),SUMIF($I:$I,"-",O:O))))</f>
        <v>0</v>
      </c>
      <c r="P54" s="14"/>
      <c r="Q54" s="137"/>
      <c r="R54" s="137"/>
    </row>
    <row r="55" spans="1:18" x14ac:dyDescent="0.2">
      <c r="A55" s="51">
        <v>1</v>
      </c>
      <c r="B55" s="73" t="s">
        <v>807</v>
      </c>
      <c r="C55" s="51" t="str">
        <f t="shared" si="1"/>
        <v>C.</v>
      </c>
      <c r="D55" s="51" t="str">
        <f t="shared" si="2"/>
        <v>III.</v>
      </c>
      <c r="E55" s="51">
        <v>2</v>
      </c>
      <c r="F55" s="69"/>
      <c r="G55" s="304" t="s">
        <v>309</v>
      </c>
      <c r="H55" s="305" t="s">
        <v>291</v>
      </c>
      <c r="I55" s="306"/>
      <c r="J55" s="202" t="str">
        <f>VLOOKUP(K55,'řádky R'!A:M,13,0)</f>
        <v>Krátkodobé pohledávky  (ř. 49 až 57)</v>
      </c>
      <c r="K55" s="307">
        <v>48</v>
      </c>
      <c r="L55" s="279">
        <f>IF($E55=3,ROUND($A55*SUMIFS(DATA!$Y:$Y,DATA!$C:$C,INDEX!$C$12,DATA!$X:$X,L$4,DATA!$N:$N,$B55,DATA!$S:$S,$K55),0)+Q55,IF($E55=2,SUMIFS(L:L,$C:$C,$C55,$D:$D,$D55,$E:$E,3),IF($E55=1,SUMIFS(L:L,$C:$C,$C55,$E:$E,2),SUMIF($I:$I,"-",L:L))))</f>
        <v>0</v>
      </c>
      <c r="M55" s="279">
        <f>IF($E55=3,ROUND($A55*SUMIFS(DATA!$Y:$Y,DATA!$C:$C,INDEX!$C$12,DATA!$X:$X,M$4,DATA!$N:$N,$B55,DATA!$S:$S,$K55),0),IF($E55=2,SUMIFS(M:M,$C:$C,$C55,$D:$D,$D55,$E:$E,3),IF($E55=1,SUMIFS(M:M,$C:$C,$C55,$E:$E,2),SUMIF($I:$I,"-",M:M))))</f>
        <v>0</v>
      </c>
      <c r="N55" s="279">
        <f t="shared" si="3"/>
        <v>0</v>
      </c>
      <c r="O55" s="280">
        <f>IF($E55=3,ROUND($A55*SUMIFS(DATA!$Y:$Y,DATA!$C:$C,INDEX!$D$12,DATA!$N:$N,$B55,DATA!$S:$S,$K55),0)+R55,IF($E55=2,SUMIFS(O:O,$C:$C,$C55,$D:$D,$D55,$E:$E,3),IF($E55=1,SUMIFS(O:O,$C:$C,$C55,$E:$E,2),SUMIF($I:$I,"-",O:O))))</f>
        <v>0</v>
      </c>
      <c r="P55" s="14"/>
      <c r="Q55" s="66"/>
      <c r="R55" s="66"/>
    </row>
    <row r="56" spans="1:18" x14ac:dyDescent="0.2">
      <c r="A56" s="51">
        <v>1</v>
      </c>
      <c r="B56" s="73" t="s">
        <v>807</v>
      </c>
      <c r="C56" s="51" t="str">
        <f t="shared" si="1"/>
        <v>C.</v>
      </c>
      <c r="D56" s="51" t="str">
        <f t="shared" si="2"/>
        <v>III.</v>
      </c>
      <c r="E56" s="51">
        <v>3</v>
      </c>
      <c r="F56" s="69"/>
      <c r="G56" s="281" t="s">
        <v>309</v>
      </c>
      <c r="H56" s="236" t="s">
        <v>291</v>
      </c>
      <c r="I56" s="236" t="s">
        <v>277</v>
      </c>
      <c r="J56" s="208" t="str">
        <f>VLOOKUP(K56,'řádky R'!A:M,13,0)</f>
        <v>Pohledávky z obchodních vztahů</v>
      </c>
      <c r="K56" s="282">
        <v>49</v>
      </c>
      <c r="L56" s="283">
        <f>IF($E56=3,ROUND($A56*SUMIFS(DATA!$Y:$Y,DATA!$C:$C,INDEX!$C$12,DATA!$X:$X,L$4,DATA!$N:$N,$B56,DATA!$S:$S,$K56),0)+Q56,IF($E56=2,SUMIFS(L:L,$C:$C,$C56,$D:$D,$D56,$E:$E,3),IF($E56=1,SUMIFS(L:L,$C:$C,$C56,$E:$E,2),SUMIF($I:$I,"-",L:L))))</f>
        <v>0</v>
      </c>
      <c r="M56" s="283">
        <f>IF($E56=3,ROUND($A56*SUMIFS(DATA!$Y:$Y,DATA!$C:$C,INDEX!$C$12,DATA!$X:$X,M$4,DATA!$N:$N,$B56,DATA!$S:$S,$K56),0),IF($E56=2,SUMIFS(M:M,$C:$C,$C56,$D:$D,$D56,$E:$E,3),IF($E56=1,SUMIFS(M:M,$C:$C,$C56,$E:$E,2),SUMIF($I:$I,"-",M:M))))</f>
        <v>0</v>
      </c>
      <c r="N56" s="283">
        <f t="shared" si="3"/>
        <v>0</v>
      </c>
      <c r="O56" s="284">
        <f>IF($E56=3,ROUND($A56*SUMIFS(DATA!$Y:$Y,DATA!$C:$C,INDEX!$D$12,DATA!$N:$N,$B56,DATA!$S:$S,$K56),0)+R56,IF($E56=2,SUMIFS(O:O,$C:$C,$C56,$D:$D,$D56,$E:$E,3),IF($E56=1,SUMIFS(O:O,$C:$C,$C56,$E:$E,2),SUMIF($I:$I,"-",O:O))))</f>
        <v>0</v>
      </c>
      <c r="P56" s="14"/>
      <c r="Q56" s="137"/>
      <c r="R56" s="137"/>
    </row>
    <row r="57" spans="1:18" x14ac:dyDescent="0.2">
      <c r="A57" s="51">
        <v>1</v>
      </c>
      <c r="B57" s="73" t="s">
        <v>807</v>
      </c>
      <c r="C57" s="51" t="str">
        <f t="shared" si="1"/>
        <v>C.</v>
      </c>
      <c r="D57" s="51" t="str">
        <f t="shared" si="2"/>
        <v>III.</v>
      </c>
      <c r="E57" s="51">
        <v>3</v>
      </c>
      <c r="F57" s="69"/>
      <c r="G57" s="285"/>
      <c r="H57" s="308"/>
      <c r="I57" s="236" t="s">
        <v>278</v>
      </c>
      <c r="J57" s="208" t="str">
        <f>VLOOKUP(K57,'řádky R'!A:M,13,0)</f>
        <v>Pohledávky - ovládající a řídící osoba</v>
      </c>
      <c r="K57" s="282">
        <v>50</v>
      </c>
      <c r="L57" s="283">
        <f>IF($E57=3,ROUND($A57*SUMIFS(DATA!$Y:$Y,DATA!$C:$C,INDEX!$C$12,DATA!$X:$X,L$4,DATA!$N:$N,$B57,DATA!$S:$S,$K57),0)+Q57,IF($E57=2,SUMIFS(L:L,$C:$C,$C57,$D:$D,$D57,$E:$E,3),IF($E57=1,SUMIFS(L:L,$C:$C,$C57,$E:$E,2),SUMIF($I:$I,"-",L:L))))</f>
        <v>0</v>
      </c>
      <c r="M57" s="283">
        <f>IF($E57=3,ROUND($A57*SUMIFS(DATA!$Y:$Y,DATA!$C:$C,INDEX!$C$12,DATA!$X:$X,M$4,DATA!$N:$N,$B57,DATA!$S:$S,$K57),0),IF($E57=2,SUMIFS(M:M,$C:$C,$C57,$D:$D,$D57,$E:$E,3),IF($E57=1,SUMIFS(M:M,$C:$C,$C57,$E:$E,2),SUMIF($I:$I,"-",M:M))))</f>
        <v>0</v>
      </c>
      <c r="N57" s="283">
        <f t="shared" si="3"/>
        <v>0</v>
      </c>
      <c r="O57" s="284">
        <f>IF($E57=3,ROUND($A57*SUMIFS(DATA!$Y:$Y,DATA!$C:$C,INDEX!$D$12,DATA!$N:$N,$B57,DATA!$S:$S,$K57),0)+R57,IF($E57=2,SUMIFS(O:O,$C:$C,$C57,$D:$D,$D57,$E:$E,3),IF($E57=1,SUMIFS(O:O,$C:$C,$C57,$E:$E,2),SUMIF($I:$I,"-",O:O))))</f>
        <v>0</v>
      </c>
      <c r="P57" s="14"/>
      <c r="Q57" s="137"/>
      <c r="R57" s="137"/>
    </row>
    <row r="58" spans="1:18" x14ac:dyDescent="0.2">
      <c r="A58" s="51">
        <v>1</v>
      </c>
      <c r="B58" s="73" t="s">
        <v>807</v>
      </c>
      <c r="C58" s="51" t="str">
        <f t="shared" si="1"/>
        <v>C.</v>
      </c>
      <c r="D58" s="51" t="str">
        <f t="shared" si="2"/>
        <v>III.</v>
      </c>
      <c r="E58" s="51">
        <v>3</v>
      </c>
      <c r="F58" s="69"/>
      <c r="G58" s="285"/>
      <c r="H58" s="308"/>
      <c r="I58" s="236" t="s">
        <v>279</v>
      </c>
      <c r="J58" s="208" t="str">
        <f>VLOOKUP(K58,'řádky R'!A:M,13,0)</f>
        <v>Pohledávky - podstatný vliv</v>
      </c>
      <c r="K58" s="282">
        <v>51</v>
      </c>
      <c r="L58" s="283">
        <f>IF($E58=3,ROUND($A58*SUMIFS(DATA!$Y:$Y,DATA!$C:$C,INDEX!$C$12,DATA!$X:$X,L$4,DATA!$N:$N,$B58,DATA!$S:$S,$K58),0)+Q58,IF($E58=2,SUMIFS(L:L,$C:$C,$C58,$D:$D,$D58,$E:$E,3),IF($E58=1,SUMIFS(L:L,$C:$C,$C58,$E:$E,2),SUMIF($I:$I,"-",L:L))))</f>
        <v>0</v>
      </c>
      <c r="M58" s="283">
        <f>IF($E58=3,ROUND($A58*SUMIFS(DATA!$Y:$Y,DATA!$C:$C,INDEX!$C$12,DATA!$X:$X,M$4,DATA!$N:$N,$B58,DATA!$S:$S,$K58),0),IF($E58=2,SUMIFS(M:M,$C:$C,$C58,$D:$D,$D58,$E:$E,3),IF($E58=1,SUMIFS(M:M,$C:$C,$C58,$E:$E,2),SUMIF($I:$I,"-",M:M))))</f>
        <v>0</v>
      </c>
      <c r="N58" s="283">
        <f t="shared" si="3"/>
        <v>0</v>
      </c>
      <c r="O58" s="284">
        <f>IF($E58=3,ROUND($A58*SUMIFS(DATA!$Y:$Y,DATA!$C:$C,INDEX!$D$12,DATA!$N:$N,$B58,DATA!$S:$S,$K58),0)+R58,IF($E58=2,SUMIFS(O:O,$C:$C,$C58,$D:$D,$D58,$E:$E,3),IF($E58=1,SUMIFS(O:O,$C:$C,$C58,$E:$E,2),SUMIF($I:$I,"-",O:O))))</f>
        <v>0</v>
      </c>
      <c r="P58" s="14"/>
      <c r="Q58" s="137"/>
      <c r="R58" s="137"/>
    </row>
    <row r="59" spans="1:18" ht="28.5" x14ac:dyDescent="0.2">
      <c r="A59" s="51">
        <v>1</v>
      </c>
      <c r="B59" s="73" t="s">
        <v>807</v>
      </c>
      <c r="C59" s="51" t="str">
        <f t="shared" si="1"/>
        <v>C.</v>
      </c>
      <c r="D59" s="51" t="str">
        <f t="shared" si="2"/>
        <v>III.</v>
      </c>
      <c r="E59" s="51">
        <v>3</v>
      </c>
      <c r="F59" s="84"/>
      <c r="G59" s="285"/>
      <c r="H59" s="308"/>
      <c r="I59" s="236" t="s">
        <v>280</v>
      </c>
      <c r="J59" s="208" t="str">
        <f>VLOOKUP(K59,'řádky R'!A:M,13,0)</f>
        <v>Pohledávky za společníky, členy družstva  a za účastníky sdružení</v>
      </c>
      <c r="K59" s="282">
        <v>52</v>
      </c>
      <c r="L59" s="283">
        <f>IF($E59=3,ROUND($A59*SUMIFS(DATA!$Y:$Y,DATA!$C:$C,INDEX!$C$12,DATA!$X:$X,L$4,DATA!$N:$N,$B59,DATA!$S:$S,$K59),0)+Q59,IF($E59=2,SUMIFS(L:L,$C:$C,$C59,$D:$D,$D59,$E:$E,3),IF($E59=1,SUMIFS(L:L,$C:$C,$C59,$E:$E,2),SUMIF($I:$I,"-",L:L))))</f>
        <v>0</v>
      </c>
      <c r="M59" s="283">
        <f>IF($E59=3,ROUND($A59*SUMIFS(DATA!$Y:$Y,DATA!$C:$C,INDEX!$C$12,DATA!$X:$X,M$4,DATA!$N:$N,$B59,DATA!$S:$S,$K59),0),IF($E59=2,SUMIFS(M:M,$C:$C,$C59,$D:$D,$D59,$E:$E,3),IF($E59=1,SUMIFS(M:M,$C:$C,$C59,$E:$E,2),SUMIF($I:$I,"-",M:M))))</f>
        <v>0</v>
      </c>
      <c r="N59" s="283">
        <f t="shared" si="3"/>
        <v>0</v>
      </c>
      <c r="O59" s="284">
        <f>IF($E59=3,ROUND($A59*SUMIFS(DATA!$Y:$Y,DATA!$C:$C,INDEX!$D$12,DATA!$N:$N,$B59,DATA!$S:$S,$K59),0)+R59,IF($E59=2,SUMIFS(O:O,$C:$C,$C59,$D:$D,$D59,$E:$E,3),IF($E59=1,SUMIFS(O:O,$C:$C,$C59,$E:$E,2),SUMIF($I:$I,"-",O:O))))</f>
        <v>0</v>
      </c>
      <c r="P59" s="14"/>
      <c r="Q59" s="137"/>
      <c r="R59" s="137"/>
    </row>
    <row r="60" spans="1:18" x14ac:dyDescent="0.2">
      <c r="A60" s="51">
        <v>1</v>
      </c>
      <c r="B60" s="73" t="s">
        <v>807</v>
      </c>
      <c r="C60" s="51" t="str">
        <f t="shared" si="1"/>
        <v>C.</v>
      </c>
      <c r="D60" s="51" t="str">
        <f t="shared" si="2"/>
        <v>III.</v>
      </c>
      <c r="E60" s="51">
        <v>3</v>
      </c>
      <c r="F60" s="69"/>
      <c r="G60" s="309"/>
      <c r="H60" s="308"/>
      <c r="I60" s="236" t="s">
        <v>281</v>
      </c>
      <c r="J60" s="208" t="str">
        <f>VLOOKUP(K60,'řádky R'!A:M,13,0)</f>
        <v>Sociální zabezpečení a zdravotní pojištění</v>
      </c>
      <c r="K60" s="282">
        <v>53</v>
      </c>
      <c r="L60" s="283">
        <f>IF($E60=3,ROUND($A60*SUMIFS(DATA!$Y:$Y,DATA!$C:$C,INDEX!$C$12,DATA!$X:$X,L$4,DATA!$N:$N,$B60,DATA!$S:$S,$K60),0)+Q60,IF($E60=2,SUMIFS(L:L,$C:$C,$C60,$D:$D,$D60,$E:$E,3),IF($E60=1,SUMIFS(L:L,$C:$C,$C60,$E:$E,2),SUMIF($I:$I,"-",L:L))))</f>
        <v>0</v>
      </c>
      <c r="M60" s="283">
        <f>IF($E60=3,ROUND($A60*SUMIFS(DATA!$Y:$Y,DATA!$C:$C,INDEX!$C$12,DATA!$X:$X,M$4,DATA!$N:$N,$B60,DATA!$S:$S,$K60),0),IF($E60=2,SUMIFS(M:M,$C:$C,$C60,$D:$D,$D60,$E:$E,3),IF($E60=1,SUMIFS(M:M,$C:$C,$C60,$E:$E,2),SUMIF($I:$I,"-",M:M))))</f>
        <v>0</v>
      </c>
      <c r="N60" s="283">
        <f t="shared" si="3"/>
        <v>0</v>
      </c>
      <c r="O60" s="284">
        <f>IF($E60=3,ROUND($A60*SUMIFS(DATA!$Y:$Y,DATA!$C:$C,INDEX!$D$12,DATA!$N:$N,$B60,DATA!$S:$S,$K60),0)+R60,IF($E60=2,SUMIFS(O:O,$C:$C,$C60,$D:$D,$D60,$E:$E,3),IF($E60=1,SUMIFS(O:O,$C:$C,$C60,$E:$E,2),SUMIF($I:$I,"-",O:O))))</f>
        <v>0</v>
      </c>
      <c r="P60" s="14"/>
      <c r="Q60" s="137"/>
      <c r="R60" s="137"/>
    </row>
    <row r="61" spans="1:18" x14ac:dyDescent="0.2">
      <c r="A61" s="51">
        <v>1</v>
      </c>
      <c r="B61" s="73" t="s">
        <v>807</v>
      </c>
      <c r="C61" s="51" t="str">
        <f t="shared" si="1"/>
        <v>C.</v>
      </c>
      <c r="D61" s="51" t="str">
        <f t="shared" si="2"/>
        <v>III.</v>
      </c>
      <c r="E61" s="51">
        <v>3</v>
      </c>
      <c r="F61" s="69"/>
      <c r="G61" s="309"/>
      <c r="H61" s="308"/>
      <c r="I61" s="236" t="s">
        <v>282</v>
      </c>
      <c r="J61" s="208" t="str">
        <f>VLOOKUP(K61,'řádky R'!A:M,13,0)</f>
        <v>Stát - daňové pohledávky</v>
      </c>
      <c r="K61" s="282">
        <v>54</v>
      </c>
      <c r="L61" s="283">
        <f>IF($E61=3,ROUND($A61*SUMIFS(DATA!$Y:$Y,DATA!$C:$C,INDEX!$C$12,DATA!$X:$X,L$4,DATA!$N:$N,$B61,DATA!$S:$S,$K61),0)+Q61,IF($E61=2,SUMIFS(L:L,$C:$C,$C61,$D:$D,$D61,$E:$E,3),IF($E61=1,SUMIFS(L:L,$C:$C,$C61,$E:$E,2),SUMIF($I:$I,"-",L:L))))</f>
        <v>0</v>
      </c>
      <c r="M61" s="283">
        <f>IF($E61=3,ROUND($A61*SUMIFS(DATA!$Y:$Y,DATA!$C:$C,INDEX!$C$12,DATA!$X:$X,M$4,DATA!$N:$N,$B61,DATA!$S:$S,$K61),0),IF($E61=2,SUMIFS(M:M,$C:$C,$C61,$D:$D,$D61,$E:$E,3),IF($E61=1,SUMIFS(M:M,$C:$C,$C61,$E:$E,2),SUMIF($I:$I,"-",M:M))))</f>
        <v>0</v>
      </c>
      <c r="N61" s="283">
        <f t="shared" si="3"/>
        <v>0</v>
      </c>
      <c r="O61" s="284">
        <f>IF($E61=3,ROUND($A61*SUMIFS(DATA!$Y:$Y,DATA!$C:$C,INDEX!$D$12,DATA!$N:$N,$B61,DATA!$S:$S,$K61),0)+R61,IF($E61=2,SUMIFS(O:O,$C:$C,$C61,$D:$D,$D61,$E:$E,3),IF($E61=1,SUMIFS(O:O,$C:$C,$C61,$E:$E,2),SUMIF($I:$I,"-",O:O))))</f>
        <v>0</v>
      </c>
      <c r="P61" s="14"/>
      <c r="Q61" s="137"/>
      <c r="R61" s="137"/>
    </row>
    <row r="62" spans="1:18" x14ac:dyDescent="0.2">
      <c r="A62" s="51">
        <v>1</v>
      </c>
      <c r="B62" s="73" t="s">
        <v>807</v>
      </c>
      <c r="C62" s="51" t="str">
        <f t="shared" si="1"/>
        <v>C.</v>
      </c>
      <c r="D62" s="51" t="str">
        <f t="shared" si="2"/>
        <v>III.</v>
      </c>
      <c r="E62" s="51">
        <v>3</v>
      </c>
      <c r="F62" s="69"/>
      <c r="G62" s="309"/>
      <c r="H62" s="308"/>
      <c r="I62" s="236" t="s">
        <v>283</v>
      </c>
      <c r="J62" s="208" t="str">
        <f>VLOOKUP(K62,'řádky R'!A:M,13,0)</f>
        <v>Krátkodobé poskytnuté zálohy</v>
      </c>
      <c r="K62" s="282">
        <v>55</v>
      </c>
      <c r="L62" s="283">
        <f>IF($E62=3,ROUND($A62*SUMIFS(DATA!$Y:$Y,DATA!$C:$C,INDEX!$C$12,DATA!$X:$X,L$4,DATA!$N:$N,$B62,DATA!$S:$S,$K62),0)+Q62,IF($E62=2,SUMIFS(L:L,$C:$C,$C62,$D:$D,$D62,$E:$E,3),IF($E62=1,SUMIFS(L:L,$C:$C,$C62,$E:$E,2),SUMIF($I:$I,"-",L:L))))</f>
        <v>0</v>
      </c>
      <c r="M62" s="283">
        <f>IF($E62=3,ROUND($A62*SUMIFS(DATA!$Y:$Y,DATA!$C:$C,INDEX!$C$12,DATA!$X:$X,M$4,DATA!$N:$N,$B62,DATA!$S:$S,$K62),0),IF($E62=2,SUMIFS(M:M,$C:$C,$C62,$D:$D,$D62,$E:$E,3),IF($E62=1,SUMIFS(M:M,$C:$C,$C62,$E:$E,2),SUMIF($I:$I,"-",M:M))))</f>
        <v>0</v>
      </c>
      <c r="N62" s="283">
        <f t="shared" si="3"/>
        <v>0</v>
      </c>
      <c r="O62" s="284">
        <f>IF($E62=3,ROUND($A62*SUMIFS(DATA!$Y:$Y,DATA!$C:$C,INDEX!$D$12,DATA!$N:$N,$B62,DATA!$S:$S,$K62),0)+R62,IF($E62=2,SUMIFS(O:O,$C:$C,$C62,$D:$D,$D62,$E:$E,3),IF($E62=1,SUMIFS(O:O,$C:$C,$C62,$E:$E,2),SUMIF($I:$I,"-",O:O))))</f>
        <v>0</v>
      </c>
      <c r="P62" s="14"/>
      <c r="Q62" s="137"/>
      <c r="R62" s="137"/>
    </row>
    <row r="63" spans="1:18" x14ac:dyDescent="0.2">
      <c r="A63" s="51">
        <v>1</v>
      </c>
      <c r="B63" s="73" t="s">
        <v>807</v>
      </c>
      <c r="C63" s="51" t="str">
        <f t="shared" si="1"/>
        <v>C.</v>
      </c>
      <c r="D63" s="51" t="str">
        <f t="shared" si="2"/>
        <v>III.</v>
      </c>
      <c r="E63" s="51">
        <v>3</v>
      </c>
      <c r="F63" s="69"/>
      <c r="G63" s="309"/>
      <c r="H63" s="308"/>
      <c r="I63" s="236" t="s">
        <v>284</v>
      </c>
      <c r="J63" s="208" t="str">
        <f>VLOOKUP(K63,'řádky R'!A:M,13,0)</f>
        <v>Dohadné účty aktivní</v>
      </c>
      <c r="K63" s="282">
        <v>56</v>
      </c>
      <c r="L63" s="283">
        <f>IF($E63=3,ROUND($A63*SUMIFS(DATA!$Y:$Y,DATA!$C:$C,INDEX!$C$12,DATA!$X:$X,L$4,DATA!$N:$N,$B63,DATA!$S:$S,$K63),0)+Q63,IF($E63=2,SUMIFS(L:L,$C:$C,$C63,$D:$D,$D63,$E:$E,3),IF($E63=1,SUMIFS(L:L,$C:$C,$C63,$E:$E,2),SUMIF($I:$I,"-",L:L))))</f>
        <v>0</v>
      </c>
      <c r="M63" s="283">
        <f>IF($E63=3,ROUND($A63*SUMIFS(DATA!$Y:$Y,DATA!$C:$C,INDEX!$C$12,DATA!$X:$X,M$4,DATA!$N:$N,$B63,DATA!$S:$S,$K63),0),IF($E63=2,SUMIFS(M:M,$C:$C,$C63,$D:$D,$D63,$E:$E,3),IF($E63=1,SUMIFS(M:M,$C:$C,$C63,$E:$E,2),SUMIF($I:$I,"-",M:M))))</f>
        <v>0</v>
      </c>
      <c r="N63" s="283">
        <f t="shared" si="3"/>
        <v>0</v>
      </c>
      <c r="O63" s="284">
        <f>IF($E63=3,ROUND($A63*SUMIFS(DATA!$Y:$Y,DATA!$C:$C,INDEX!$D$12,DATA!$N:$N,$B63,DATA!$S:$S,$K63),0)+R63,IF($E63=2,SUMIFS(O:O,$C:$C,$C63,$D:$D,$D63,$E:$E,3),IF($E63=1,SUMIFS(O:O,$C:$C,$C63,$E:$E,2),SUMIF($I:$I,"-",O:O))))</f>
        <v>0</v>
      </c>
      <c r="P63" s="14"/>
      <c r="Q63" s="137"/>
      <c r="R63" s="137"/>
    </row>
    <row r="64" spans="1:18" x14ac:dyDescent="0.2">
      <c r="A64" s="51">
        <v>1</v>
      </c>
      <c r="B64" s="73" t="s">
        <v>807</v>
      </c>
      <c r="C64" s="51" t="str">
        <f t="shared" si="1"/>
        <v>C.</v>
      </c>
      <c r="D64" s="51" t="str">
        <f t="shared" si="2"/>
        <v>III.</v>
      </c>
      <c r="E64" s="51">
        <v>3</v>
      </c>
      <c r="F64" s="69"/>
      <c r="G64" s="310"/>
      <c r="H64" s="311"/>
      <c r="I64" s="292" t="s">
        <v>287</v>
      </c>
      <c r="J64" s="288" t="str">
        <f>VLOOKUP(K64,'řádky R'!A:M,13,0)</f>
        <v>Jiné pohledávky</v>
      </c>
      <c r="K64" s="289">
        <v>57</v>
      </c>
      <c r="L64" s="290">
        <f>IF($E64=3,ROUND($A64*SUMIFS(DATA!$Y:$Y,DATA!$C:$C,INDEX!$C$12,DATA!$X:$X,L$4,DATA!$N:$N,$B64,DATA!$S:$S,$K64),0)+Q64,IF($E64=2,SUMIFS(L:L,$C:$C,$C64,$D:$D,$D64,$E:$E,3),IF($E64=1,SUMIFS(L:L,$C:$C,$C64,$E:$E,2),SUMIF($I:$I,"-",L:L))))</f>
        <v>0</v>
      </c>
      <c r="M64" s="290">
        <f>IF($E64=3,ROUND($A64*SUMIFS(DATA!$Y:$Y,DATA!$C:$C,INDEX!$C$12,DATA!$X:$X,M$4,DATA!$N:$N,$B64,DATA!$S:$S,$K64),0),IF($E64=2,SUMIFS(M:M,$C:$C,$C64,$D:$D,$D64,$E:$E,3),IF($E64=1,SUMIFS(M:M,$C:$C,$C64,$E:$E,2),SUMIF($I:$I,"-",M:M))))</f>
        <v>0</v>
      </c>
      <c r="N64" s="290">
        <f t="shared" si="3"/>
        <v>0</v>
      </c>
      <c r="O64" s="291">
        <f>IF($E64=3,ROUND($A64*SUMIFS(DATA!$Y:$Y,DATA!$C:$C,INDEX!$D$12,DATA!$N:$N,$B64,DATA!$S:$S,$K64),0)+R64,IF($E64=2,SUMIFS(O:O,$C:$C,$C64,$D:$D,$D64,$E:$E,3),IF($E64=1,SUMIFS(O:O,$C:$C,$C64,$E:$E,2),SUMIF($I:$I,"-",O:O))))</f>
        <v>0</v>
      </c>
      <c r="P64" s="14"/>
      <c r="Q64" s="137"/>
      <c r="R64" s="137"/>
    </row>
    <row r="65" spans="1:18" x14ac:dyDescent="0.2">
      <c r="A65" s="51">
        <v>1</v>
      </c>
      <c r="B65" s="73" t="s">
        <v>807</v>
      </c>
      <c r="C65" s="51" t="str">
        <f t="shared" si="1"/>
        <v>C.</v>
      </c>
      <c r="D65" s="51" t="str">
        <f t="shared" si="2"/>
        <v>IV.</v>
      </c>
      <c r="E65" s="51">
        <v>2</v>
      </c>
      <c r="F65" s="69"/>
      <c r="G65" s="304" t="s">
        <v>309</v>
      </c>
      <c r="H65" s="305" t="s">
        <v>322</v>
      </c>
      <c r="I65" s="306"/>
      <c r="J65" s="202" t="str">
        <f>VLOOKUP(K65,'řádky R'!A:M,13,0)</f>
        <v>Krátkodobý finanční majetek  (ř. 59 až 62)</v>
      </c>
      <c r="K65" s="307">
        <v>58</v>
      </c>
      <c r="L65" s="279">
        <f>IF($E65=3,ROUND($A65*SUMIFS(DATA!$Y:$Y,DATA!$C:$C,INDEX!$C$12,DATA!$X:$X,L$4,DATA!$N:$N,$B65,DATA!$S:$S,$K65),0)+Q65,IF($E65=2,SUMIFS(L:L,$C:$C,$C65,$D:$D,$D65,$E:$E,3),IF($E65=1,SUMIFS(L:L,$C:$C,$C65,$E:$E,2),SUMIF($I:$I,"-",L:L))))</f>
        <v>0</v>
      </c>
      <c r="M65" s="279">
        <f>IF($E65=3,ROUND($A65*SUMIFS(DATA!$Y:$Y,DATA!$C:$C,INDEX!$C$12,DATA!$X:$X,M$4,DATA!$N:$N,$B65,DATA!$S:$S,$K65),0),IF($E65=2,SUMIFS(M:M,$C:$C,$C65,$D:$D,$D65,$E:$E,3),IF($E65=1,SUMIFS(M:M,$C:$C,$C65,$E:$E,2),SUMIF($I:$I,"-",M:M))))</f>
        <v>0</v>
      </c>
      <c r="N65" s="279">
        <f t="shared" si="3"/>
        <v>0</v>
      </c>
      <c r="O65" s="280">
        <f>IF($E65=3,ROUND($A65*SUMIFS(DATA!$Y:$Y,DATA!$C:$C,INDEX!$D$12,DATA!$N:$N,$B65,DATA!$S:$S,$K65),0)+R65,IF($E65=2,SUMIFS(O:O,$C:$C,$C65,$D:$D,$D65,$E:$E,3),IF($E65=1,SUMIFS(O:O,$C:$C,$C65,$E:$E,2),SUMIF($I:$I,"-",O:O))))</f>
        <v>0</v>
      </c>
      <c r="P65" s="14"/>
      <c r="Q65" s="62"/>
      <c r="R65" s="62"/>
    </row>
    <row r="66" spans="1:18" x14ac:dyDescent="0.2">
      <c r="A66" s="51">
        <v>1</v>
      </c>
      <c r="B66" s="73" t="s">
        <v>807</v>
      </c>
      <c r="C66" s="51" t="str">
        <f t="shared" si="1"/>
        <v>C.</v>
      </c>
      <c r="D66" s="51" t="str">
        <f t="shared" si="2"/>
        <v>IV.</v>
      </c>
      <c r="E66" s="51">
        <v>3</v>
      </c>
      <c r="F66" s="69"/>
      <c r="G66" s="281" t="s">
        <v>309</v>
      </c>
      <c r="H66" s="236" t="s">
        <v>322</v>
      </c>
      <c r="I66" s="236" t="s">
        <v>277</v>
      </c>
      <c r="J66" s="208" t="str">
        <f>VLOOKUP(K66,'řádky R'!A:M,13,0)</f>
        <v>Peníze</v>
      </c>
      <c r="K66" s="282">
        <v>59</v>
      </c>
      <c r="L66" s="283">
        <f>IF($E66=3,ROUND($A66*SUMIFS(DATA!$Y:$Y,DATA!$C:$C,INDEX!$C$12,DATA!$X:$X,L$4,DATA!$N:$N,$B66,DATA!$S:$S,$K66),0)+Q66,IF($E66=2,SUMIFS(L:L,$C:$C,$C66,$D:$D,$D66,$E:$E,3),IF($E66=1,SUMIFS(L:L,$C:$C,$C66,$E:$E,2),SUMIF($I:$I,"-",L:L))))</f>
        <v>0</v>
      </c>
      <c r="M66" s="283">
        <f>IF($E66=3,ROUND($A66*SUMIFS(DATA!$Y:$Y,DATA!$C:$C,INDEX!$C$12,DATA!$X:$X,M$4,DATA!$N:$N,$B66,DATA!$S:$S,$K66),0),IF($E66=2,SUMIFS(M:M,$C:$C,$C66,$D:$D,$D66,$E:$E,3),IF($E66=1,SUMIFS(M:M,$C:$C,$C66,$E:$E,2),SUMIF($I:$I,"-",M:M))))</f>
        <v>0</v>
      </c>
      <c r="N66" s="283">
        <f t="shared" si="3"/>
        <v>0</v>
      </c>
      <c r="O66" s="284">
        <f>IF($E66=3,ROUND($A66*SUMIFS(DATA!$Y:$Y,DATA!$C:$C,INDEX!$D$12,DATA!$N:$N,$B66,DATA!$S:$S,$K66),0)+R66,IF($E66=2,SUMIFS(O:O,$C:$C,$C66,$D:$D,$D66,$E:$E,3),IF($E66=1,SUMIFS(O:O,$C:$C,$C66,$E:$E,2),SUMIF($I:$I,"-",O:O))))</f>
        <v>0</v>
      </c>
      <c r="P66" s="14"/>
      <c r="Q66" s="137"/>
      <c r="R66" s="137"/>
    </row>
    <row r="67" spans="1:18" x14ac:dyDescent="0.2">
      <c r="A67" s="51">
        <v>1</v>
      </c>
      <c r="B67" s="73" t="s">
        <v>807</v>
      </c>
      <c r="C67" s="51" t="str">
        <f t="shared" si="1"/>
        <v>C.</v>
      </c>
      <c r="D67" s="51" t="str">
        <f t="shared" si="2"/>
        <v>IV.</v>
      </c>
      <c r="E67" s="51">
        <v>3</v>
      </c>
      <c r="F67" s="69"/>
      <c r="G67" s="285"/>
      <c r="H67" s="308"/>
      <c r="I67" s="236" t="s">
        <v>278</v>
      </c>
      <c r="J67" s="208" t="str">
        <f>VLOOKUP(K67,'řádky R'!A:M,13,0)</f>
        <v>Účty v bankách</v>
      </c>
      <c r="K67" s="282">
        <v>60</v>
      </c>
      <c r="L67" s="283">
        <f>IF($E67=3,ROUND($A67*SUMIFS(DATA!$Y:$Y,DATA!$C:$C,INDEX!$C$12,DATA!$X:$X,L$4,DATA!$N:$N,$B67,DATA!$S:$S,$K67),0)+Q67,IF($E67=2,SUMIFS(L:L,$C:$C,$C67,$D:$D,$D67,$E:$E,3),IF($E67=1,SUMIFS(L:L,$C:$C,$C67,$E:$E,2),SUMIF($I:$I,"-",L:L))))</f>
        <v>0</v>
      </c>
      <c r="M67" s="283">
        <f>IF($E67=3,ROUND($A67*SUMIFS(DATA!$Y:$Y,DATA!$C:$C,INDEX!$C$12,DATA!$X:$X,M$4,DATA!$N:$N,$B67,DATA!$S:$S,$K67),0),IF($E67=2,SUMIFS(M:M,$C:$C,$C67,$D:$D,$D67,$E:$E,3),IF($E67=1,SUMIFS(M:M,$C:$C,$C67,$E:$E,2),SUMIF($I:$I,"-",M:M))))</f>
        <v>0</v>
      </c>
      <c r="N67" s="283">
        <f t="shared" si="3"/>
        <v>0</v>
      </c>
      <c r="O67" s="284">
        <f>IF($E67=3,ROUND($A67*SUMIFS(DATA!$Y:$Y,DATA!$C:$C,INDEX!$D$12,DATA!$N:$N,$B67,DATA!$S:$S,$K67),0)+R67,IF($E67=2,SUMIFS(O:O,$C:$C,$C67,$D:$D,$D67,$E:$E,3),IF($E67=1,SUMIFS(O:O,$C:$C,$C67,$E:$E,2),SUMIF($I:$I,"-",O:O))))</f>
        <v>0</v>
      </c>
      <c r="P67" s="14"/>
      <c r="Q67" s="137"/>
      <c r="R67" s="137"/>
    </row>
    <row r="68" spans="1:18" x14ac:dyDescent="0.2">
      <c r="A68" s="51">
        <v>1</v>
      </c>
      <c r="B68" s="73" t="s">
        <v>807</v>
      </c>
      <c r="C68" s="51" t="str">
        <f t="shared" si="1"/>
        <v>C.</v>
      </c>
      <c r="D68" s="51" t="str">
        <f t="shared" si="2"/>
        <v>IV.</v>
      </c>
      <c r="E68" s="51">
        <v>3</v>
      </c>
      <c r="F68" s="69"/>
      <c r="G68" s="285"/>
      <c r="H68" s="308"/>
      <c r="I68" s="236" t="s">
        <v>279</v>
      </c>
      <c r="J68" s="208" t="str">
        <f>VLOOKUP(K68,'řádky R'!A:M,13,0)</f>
        <v>Krátkodobé cenné papíry a podíly</v>
      </c>
      <c r="K68" s="282">
        <v>61</v>
      </c>
      <c r="L68" s="283">
        <f>IF($E68=3,ROUND($A68*SUMIFS(DATA!$Y:$Y,DATA!$C:$C,INDEX!$C$12,DATA!$X:$X,L$4,DATA!$N:$N,$B68,DATA!$S:$S,$K68),0)+Q68,IF($E68=2,SUMIFS(L:L,$C:$C,$C68,$D:$D,$D68,$E:$E,3),IF($E68=1,SUMIFS(L:L,$C:$C,$C68,$E:$E,2),SUMIF($I:$I,"-",L:L))))</f>
        <v>0</v>
      </c>
      <c r="M68" s="283">
        <f>IF($E68=3,ROUND($A68*SUMIFS(DATA!$Y:$Y,DATA!$C:$C,INDEX!$C$12,DATA!$X:$X,M$4,DATA!$N:$N,$B68,DATA!$S:$S,$K68),0),IF($E68=2,SUMIFS(M:M,$C:$C,$C68,$D:$D,$D68,$E:$E,3),IF($E68=1,SUMIFS(M:M,$C:$C,$C68,$E:$E,2),SUMIF($I:$I,"-",M:M))))</f>
        <v>0</v>
      </c>
      <c r="N68" s="283">
        <f t="shared" si="3"/>
        <v>0</v>
      </c>
      <c r="O68" s="284">
        <f>IF($E68=3,ROUND($A68*SUMIFS(DATA!$Y:$Y,DATA!$C:$C,INDEX!$D$12,DATA!$N:$N,$B68,DATA!$S:$S,$K68),0)+R68,IF($E68=2,SUMIFS(O:O,$C:$C,$C68,$D:$D,$D68,$E:$E,3),IF($E68=1,SUMIFS(O:O,$C:$C,$C68,$E:$E,2),SUMIF($I:$I,"-",O:O))))</f>
        <v>0</v>
      </c>
      <c r="P68" s="14"/>
      <c r="Q68" s="137"/>
      <c r="R68" s="137"/>
    </row>
    <row r="69" spans="1:18" x14ac:dyDescent="0.2">
      <c r="A69" s="51">
        <v>1</v>
      </c>
      <c r="B69" s="73" t="s">
        <v>807</v>
      </c>
      <c r="C69" s="51" t="str">
        <f t="shared" si="1"/>
        <v>C.</v>
      </c>
      <c r="D69" s="51" t="str">
        <f t="shared" si="2"/>
        <v>IV.</v>
      </c>
      <c r="E69" s="51">
        <v>3</v>
      </c>
      <c r="F69" s="69"/>
      <c r="G69" s="310"/>
      <c r="H69" s="311"/>
      <c r="I69" s="312" t="s">
        <v>280</v>
      </c>
      <c r="J69" s="288" t="str">
        <f>VLOOKUP(K69,'řádky R'!A:M,13,0)</f>
        <v>Pořizovaný krátkodobý finanční majetek</v>
      </c>
      <c r="K69" s="289">
        <v>62</v>
      </c>
      <c r="L69" s="290">
        <f>IF($E69=3,ROUND($A69*SUMIFS(DATA!$Y:$Y,DATA!$C:$C,INDEX!$C$12,DATA!$X:$X,L$4,DATA!$N:$N,$B69,DATA!$S:$S,$K69),0)+Q69,IF($E69=2,SUMIFS(L:L,$C:$C,$C69,$D:$D,$D69,$E:$E,3),IF($E69=1,SUMIFS(L:L,$C:$C,$C69,$E:$E,2),SUMIF($I:$I,"-",L:L))))</f>
        <v>0</v>
      </c>
      <c r="M69" s="290">
        <f>IF($E69=3,ROUND($A69*SUMIFS(DATA!$Y:$Y,DATA!$C:$C,INDEX!$C$12,DATA!$X:$X,M$4,DATA!$N:$N,$B69,DATA!$S:$S,$K69),0),IF($E69=2,SUMIFS(M:M,$C:$C,$C69,$D:$D,$D69,$E:$E,3),IF($E69=1,SUMIFS(M:M,$C:$C,$C69,$E:$E,2),SUMIF($I:$I,"-",M:M))))</f>
        <v>0</v>
      </c>
      <c r="N69" s="290">
        <f t="shared" si="3"/>
        <v>0</v>
      </c>
      <c r="O69" s="291">
        <f>IF($E69=3,ROUND($A69*SUMIFS(DATA!$Y:$Y,DATA!$C:$C,INDEX!$D$12,DATA!$N:$N,$B69,DATA!$S:$S,$K69),0)+R69,IF($E69=2,SUMIFS(O:O,$C:$C,$C69,$D:$D,$D69,$E:$E,3),IF($E69=1,SUMIFS(O:O,$C:$C,$C69,$E:$E,2),SUMIF($I:$I,"-",O:O))))</f>
        <v>0</v>
      </c>
      <c r="P69" s="418" t="s">
        <v>920</v>
      </c>
      <c r="Q69" s="137"/>
      <c r="R69" s="137"/>
    </row>
    <row r="70" spans="1:18" x14ac:dyDescent="0.2">
      <c r="A70" s="51">
        <v>1</v>
      </c>
      <c r="B70" s="73" t="s">
        <v>807</v>
      </c>
      <c r="C70" s="51" t="str">
        <f t="shared" si="1"/>
        <v>D.</v>
      </c>
      <c r="D70" s="51" t="str">
        <f>IF(H70&gt;0,H70,D69)</f>
        <v>I.</v>
      </c>
      <c r="E70" s="51">
        <v>2</v>
      </c>
      <c r="F70" s="69"/>
      <c r="G70" s="313" t="s">
        <v>325</v>
      </c>
      <c r="H70" s="314" t="s">
        <v>276</v>
      </c>
      <c r="I70" s="315" t="s">
        <v>306</v>
      </c>
      <c r="J70" s="316" t="str">
        <f>VLOOKUP(K70,'řádky R'!A:M,13,0)</f>
        <v>Časové rozlišení  (ř. 64 až 66)</v>
      </c>
      <c r="K70" s="317">
        <v>63</v>
      </c>
      <c r="L70" s="318">
        <f>IF($E70=3,ROUND($A70*SUMIFS(DATA!$Y:$Y,DATA!$C:$C,INDEX!$C$12,DATA!$X:$X,L$4,DATA!$N:$N,$B70,DATA!$S:$S,$K70),0)+Q70,IF($E70=2,SUMIFS(L:L,$C:$C,$C70,$D:$D,$D70,$E:$E,3),IF($E70=1,SUMIFS(L:L,$C:$C,$C70,$E:$E,2),SUMIF($I:$I,"-",L:L))))</f>
        <v>0</v>
      </c>
      <c r="M70" s="318">
        <f>IF($E70=3,ROUND($A70*SUMIFS(DATA!$Y:$Y,DATA!$C:$C,INDEX!$C$12,DATA!$X:$X,M$4,DATA!$N:$N,$B70,DATA!$S:$S,$K70),0),IF($E70=2,SUMIFS(M:M,$C:$C,$C70,$D:$D,$D70,$E:$E,3),IF($E70=1,SUMIFS(M:M,$C:$C,$C70,$E:$E,2),SUMIF($I:$I,"-",M:M))))</f>
        <v>0</v>
      </c>
      <c r="N70" s="318">
        <f t="shared" si="3"/>
        <v>0</v>
      </c>
      <c r="O70" s="319">
        <f>IF($E70=3,ROUND($A70*SUMIFS(DATA!$Y:$Y,DATA!$C:$C,INDEX!$D$12,DATA!$N:$N,$B70,DATA!$S:$S,$K70),0)+R70,IF($E70=2,SUMIFS(O:O,$C:$C,$C70,$D:$D,$D70,$E:$E,3),IF($E70=1,SUMIFS(O:O,$C:$C,$C70,$E:$E,2),SUMIF($I:$I,"-",O:O))))</f>
        <v>0</v>
      </c>
      <c r="P70" s="418"/>
      <c r="Q70" s="65"/>
      <c r="R70" s="65"/>
    </row>
    <row r="71" spans="1:18" x14ac:dyDescent="0.2">
      <c r="A71" s="51">
        <v>1</v>
      </c>
      <c r="B71" s="73" t="s">
        <v>807</v>
      </c>
      <c r="C71" s="51" t="str">
        <f t="shared" si="1"/>
        <v>D.</v>
      </c>
      <c r="D71" s="51" t="str">
        <f t="shared" ref="D71:D73" si="4">IF(H71&gt;0,H71,D70)</f>
        <v>I.</v>
      </c>
      <c r="E71" s="51">
        <v>3</v>
      </c>
      <c r="F71" s="69"/>
      <c r="G71" s="281" t="s">
        <v>325</v>
      </c>
      <c r="H71" s="236" t="s">
        <v>276</v>
      </c>
      <c r="I71" s="236" t="s">
        <v>277</v>
      </c>
      <c r="J71" s="208" t="str">
        <f>VLOOKUP(K71,'řádky R'!A:M,13,0)</f>
        <v xml:space="preserve">Náklady příštích období </v>
      </c>
      <c r="K71" s="282">
        <v>64</v>
      </c>
      <c r="L71" s="283">
        <f>IF($E71=3,ROUND($A71*SUMIFS(DATA!$Y:$Y,DATA!$C:$C,INDEX!$C$12,DATA!$X:$X,L$4,DATA!$N:$N,$B71,DATA!$S:$S,$K71),0)+Q71,IF($E71=2,SUMIFS(L:L,$C:$C,$C71,$D:$D,$D71,$E:$E,3),IF($E71=1,SUMIFS(L:L,$C:$C,$C71,$E:$E,2),SUMIF($I:$I,"-",L:L))))</f>
        <v>0</v>
      </c>
      <c r="M71" s="283">
        <f>IF($E71=3,ROUND($A71*SUMIFS(DATA!$Y:$Y,DATA!$C:$C,INDEX!$C$12,DATA!$X:$X,M$4,DATA!$N:$N,$B71,DATA!$S:$S,$K71),0),IF($E71=2,SUMIFS(M:M,$C:$C,$C71,$D:$D,$D71,$E:$E,3),IF($E71=1,SUMIFS(M:M,$C:$C,$C71,$E:$E,2),SUMIF($I:$I,"-",M:M))))</f>
        <v>0</v>
      </c>
      <c r="N71" s="283">
        <f t="shared" si="3"/>
        <v>0</v>
      </c>
      <c r="O71" s="284">
        <f>IF($E71=3,ROUND($A71*SUMIFS(DATA!$Y:$Y,DATA!$C:$C,INDEX!$D$12,DATA!$N:$N,$B71,DATA!$S:$S,$K71),0)+R71,IF($E71=2,SUMIFS(O:O,$C:$C,$C71,$D:$D,$D71,$E:$E,3),IF($E71=1,SUMIFS(O:O,$C:$C,$C71,$E:$E,2),SUMIF($I:$I,"-",O:O))))</f>
        <v>0</v>
      </c>
      <c r="P71" s="418"/>
      <c r="Q71" s="137"/>
      <c r="R71" s="137"/>
    </row>
    <row r="72" spans="1:18" x14ac:dyDescent="0.2">
      <c r="A72" s="51">
        <v>1</v>
      </c>
      <c r="B72" s="73" t="s">
        <v>807</v>
      </c>
      <c r="C72" s="51" t="str">
        <f t="shared" ref="C72:C73" si="5">IF(G72&gt;0,G72,C71)</f>
        <v>D.</v>
      </c>
      <c r="D72" s="51" t="str">
        <f t="shared" si="4"/>
        <v>I.</v>
      </c>
      <c r="E72" s="51">
        <v>3</v>
      </c>
      <c r="F72" s="69"/>
      <c r="G72" s="285"/>
      <c r="H72" s="308"/>
      <c r="I72" s="253" t="s">
        <v>278</v>
      </c>
      <c r="J72" s="208" t="str">
        <f>VLOOKUP(K72,'řádky R'!A:M,13,0)</f>
        <v>Komplexní náklady příštích období</v>
      </c>
      <c r="K72" s="282">
        <v>65</v>
      </c>
      <c r="L72" s="283">
        <f>IF($E72=3,ROUND($A72*SUMIFS(DATA!$Y:$Y,DATA!$C:$C,INDEX!$C$12,DATA!$X:$X,L$4,DATA!$N:$N,$B72,DATA!$S:$S,$K72),0)+Q72,IF($E72=2,SUMIFS(L:L,$C:$C,$C72,$D:$D,$D72,$E:$E,3),IF($E72=1,SUMIFS(L:L,$C:$C,$C72,$E:$E,2),SUMIF($I:$I,"-",L:L))))</f>
        <v>0</v>
      </c>
      <c r="M72" s="283">
        <f>IF($E72=3,ROUND($A72*SUMIFS(DATA!$Y:$Y,DATA!$C:$C,INDEX!$C$12,DATA!$X:$X,M$4,DATA!$N:$N,$B72,DATA!$S:$S,$K72),0),IF($E72=2,SUMIFS(M:M,$C:$C,$C72,$D:$D,$D72,$E:$E,3),IF($E72=1,SUMIFS(M:M,$C:$C,$C72,$E:$E,2),SUMIF($I:$I,"-",M:M))))</f>
        <v>0</v>
      </c>
      <c r="N72" s="283">
        <f t="shared" si="3"/>
        <v>0</v>
      </c>
      <c r="O72" s="284">
        <f>IF($E72=3,ROUND($A72*SUMIFS(DATA!$Y:$Y,DATA!$C:$C,INDEX!$D$12,DATA!$N:$N,$B72,DATA!$S:$S,$K72),0)+R72,IF($E72=2,SUMIFS(O:O,$C:$C,$C72,$D:$D,$D72,$E:$E,3),IF($E72=1,SUMIFS(O:O,$C:$C,$C72,$E:$E,2),SUMIF($I:$I,"-",O:O))))</f>
        <v>0</v>
      </c>
      <c r="P72" s="418"/>
      <c r="Q72" s="137"/>
      <c r="R72" s="137"/>
    </row>
    <row r="73" spans="1:18" ht="27" thickBot="1" x14ac:dyDescent="0.25">
      <c r="A73" s="51">
        <v>1</v>
      </c>
      <c r="B73" s="73" t="s">
        <v>807</v>
      </c>
      <c r="C73" s="51" t="str">
        <f t="shared" si="5"/>
        <v>D.</v>
      </c>
      <c r="D73" s="51" t="str">
        <f t="shared" si="4"/>
        <v>I.</v>
      </c>
      <c r="E73" s="51">
        <v>3</v>
      </c>
      <c r="F73" s="69"/>
      <c r="G73" s="320"/>
      <c r="H73" s="321"/>
      <c r="I73" s="322" t="s">
        <v>279</v>
      </c>
      <c r="J73" s="296" t="str">
        <f>VLOOKUP(K73,'řádky R'!A:M,13,0)</f>
        <v>Příjmy příštích období</v>
      </c>
      <c r="K73" s="297">
        <v>66</v>
      </c>
      <c r="L73" s="298">
        <f>IF($E73=3,ROUND($A73*SUMIFS(DATA!$Y:$Y,DATA!$C:$C,INDEX!$C$12,DATA!$X:$X,L$4,DATA!$N:$N,$B73,DATA!$S:$S,$K73),0)+Q73,IF($E73=2,SUMIFS(L:L,$C:$C,$C73,$D:$D,$D73,$E:$E,3),IF($E73=1,SUMIFS(L:L,$C:$C,$C73,$E:$E,2),SUMIF($I:$I,"-",L:L))))</f>
        <v>0</v>
      </c>
      <c r="M73" s="298">
        <f>IF($E73=3,ROUND($A73*SUMIFS(DATA!$Y:$Y,DATA!$C:$C,INDEX!$C$12,DATA!$X:$X,M$4,DATA!$N:$N,$B73,DATA!$S:$S,$K73),0),IF($E73=2,SUMIFS(M:M,$C:$C,$C73,$D:$D,$D73,$E:$E,3),IF($E73=1,SUMIFS(M:M,$C:$C,$C73,$E:$E,2),SUMIF($I:$I,"-",M:M))))</f>
        <v>0</v>
      </c>
      <c r="N73" s="298">
        <f t="shared" ref="N73" si="6">L73+M73</f>
        <v>0</v>
      </c>
      <c r="O73" s="299">
        <f>IF($E73=3,ROUND($A73*SUMIFS(DATA!$Y:$Y,DATA!$C:$C,INDEX!$D$12,DATA!$N:$N,$B73,DATA!$S:$S,$K73),0)+R73,IF($E73=2,SUMIFS(O:O,$C:$C,$C73,$D:$D,$D73,$E:$E,3),IF($E73=1,SUMIFS(O:O,$C:$C,$C73,$E:$E,2),SUMIF($I:$I,"-",O:O))))</f>
        <v>0</v>
      </c>
      <c r="P73" s="418"/>
      <c r="Q73" s="137"/>
      <c r="R73" s="137"/>
    </row>
  </sheetData>
  <sheetProtection password="DD47" sheet="1" objects="1" scenarios="1"/>
  <mergeCells count="5">
    <mergeCell ref="G5:I5"/>
    <mergeCell ref="G7:I7"/>
    <mergeCell ref="L5:N5"/>
    <mergeCell ref="P33:P37"/>
    <mergeCell ref="P69:P73"/>
  </mergeCells>
  <conditionalFormatting sqref="Q7:R7">
    <cfRule type="cellIs" dxfId="67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8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37" min="6" max="1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showRowColHeaders="0" showZeros="0" topLeftCell="F1" zoomScale="80" zoomScaleNormal="80" workbookViewId="0">
      <pane ySplit="7" topLeftCell="A8" activePane="bottomLeft" state="frozen"/>
      <selection activeCell="B5" sqref="B5"/>
      <selection pane="bottomLeft" activeCell="G5" sqref="G5:I5"/>
    </sheetView>
  </sheetViews>
  <sheetFormatPr defaultColWidth="0" defaultRowHeight="23.25" x14ac:dyDescent="0.2"/>
  <cols>
    <col min="1" max="1" width="2.85546875" style="51" hidden="1" customWidth="1"/>
    <col min="2" max="2" width="6.7109375" style="73" hidden="1" customWidth="1"/>
    <col min="3" max="3" width="2.85546875" style="51" hidden="1" customWidth="1"/>
    <col min="4" max="4" width="3.42578125" style="51" hidden="1" customWidth="1"/>
    <col min="5" max="5" width="2.28515625" style="51" hidden="1" customWidth="1"/>
    <col min="6" max="6" width="2.85546875" style="40" customWidth="1"/>
    <col min="7" max="9" width="2.85546875" style="323" customWidth="1"/>
    <col min="10" max="10" width="66.85546875" style="323" customWidth="1"/>
    <col min="11" max="11" width="6.42578125" style="323" customWidth="1"/>
    <col min="12" max="13" width="28.7109375" style="323" customWidth="1"/>
    <col min="14" max="14" width="2.7109375" style="17" customWidth="1"/>
    <col min="15" max="16" width="4.28515625" style="14" customWidth="1"/>
    <col min="17" max="16384" width="9.140625" style="14" hidden="1"/>
  </cols>
  <sheetData>
    <row r="1" spans="1:16" s="132" customFormat="1" ht="26.25" x14ac:dyDescent="0.4">
      <c r="A1" s="129"/>
      <c r="B1" s="130"/>
      <c r="C1" s="129"/>
      <c r="D1" s="129"/>
      <c r="E1" s="129"/>
      <c r="F1" s="131"/>
      <c r="G1" s="328" t="str">
        <f>IF(jazyk="česky","ROZVAHA v plném rozsahu",IF(jazyk="anglicky","BALANCE SHEET in full format",IF(jazyk="německy","BILANZ in vollständiger Fassung","-")))</f>
        <v>ROZVAHA v plném rozsahu</v>
      </c>
      <c r="H1" s="139"/>
      <c r="I1" s="139"/>
      <c r="J1" s="139"/>
      <c r="K1" s="140"/>
      <c r="L1" s="329"/>
      <c r="M1" s="330">
        <f>INDEX!C6</f>
        <v>0</v>
      </c>
    </row>
    <row r="2" spans="1:16" s="87" customFormat="1" ht="15.75" x14ac:dyDescent="0.2">
      <c r="A2" s="85"/>
      <c r="B2" s="86"/>
      <c r="C2" s="85"/>
      <c r="D2" s="85"/>
      <c r="E2" s="85"/>
      <c r="F2" s="133"/>
      <c r="G2" s="141" t="str">
        <f>CONCATENATE(IF(jazyk="česky","ke dni",IF(jazyk="anglicky","as at",IF(jazyk="německy","zum","-"))),"   ",DAY(INDEX!C12),".",MONTH(INDEX!C12),".",YEAR(INDEX!C12))</f>
        <v>ke dni   0.1.1900</v>
      </c>
      <c r="H2" s="142"/>
      <c r="I2" s="142"/>
      <c r="J2" s="142"/>
      <c r="K2" s="143"/>
      <c r="L2" s="144"/>
      <c r="M2" s="145">
        <f>INDEX!C8</f>
        <v>0</v>
      </c>
    </row>
    <row r="3" spans="1:16" s="87" customFormat="1" ht="15.75" x14ac:dyDescent="0.2">
      <c r="A3" s="85"/>
      <c r="B3" s="86"/>
      <c r="C3" s="85"/>
      <c r="D3" s="85"/>
      <c r="E3" s="85"/>
      <c r="F3" s="134"/>
      <c r="G3" s="146" t="str">
        <f>CONCATENATE("(",VLOOKUP(zaokr,INDEX!H17:I19,2,0),")")</f>
        <v>(v celých Kč)</v>
      </c>
      <c r="H3" s="144"/>
      <c r="I3" s="144"/>
      <c r="J3" s="144"/>
      <c r="K3" s="147"/>
      <c r="L3" s="368"/>
      <c r="M3" s="149">
        <f>INDEX!C4</f>
        <v>0</v>
      </c>
    </row>
    <row r="4" spans="1:16" s="16" customFormat="1" ht="24" thickBot="1" x14ac:dyDescent="0.25">
      <c r="A4" s="50"/>
      <c r="B4" s="72"/>
      <c r="C4" s="50"/>
      <c r="D4" s="50"/>
      <c r="E4" s="50"/>
      <c r="F4" s="39"/>
      <c r="G4" s="144"/>
      <c r="H4" s="144"/>
      <c r="I4" s="144"/>
      <c r="J4" s="144"/>
      <c r="K4" s="150"/>
      <c r="L4" s="369"/>
      <c r="M4" s="333"/>
    </row>
    <row r="5" spans="1:16" x14ac:dyDescent="0.25">
      <c r="B5" s="73" t="s">
        <v>808</v>
      </c>
      <c r="G5" s="419" t="str">
        <f>IF(jazyk="česky","Označení",IF(jazyk="anglicky","Ident.",IF(jazyk="německy","Ident.","-")))</f>
        <v>Označení</v>
      </c>
      <c r="H5" s="420"/>
      <c r="I5" s="421"/>
      <c r="J5" s="152" t="str">
        <f>IF(jazyk="česky","PASIVA",IF(jazyk="anglicky","EQUITY AND LIABILITIES",IF(jazyk="německy","PASSIVA","-")))</f>
        <v>PASIVA</v>
      </c>
      <c r="K5" s="153" t="str">
        <f>IF(jazyk="česky","Číslo",IF(jazyk="anglicky"," ",IF(jazyk="německy"," ","-")))</f>
        <v>Číslo</v>
      </c>
      <c r="L5" s="432" t="str">
        <f>IF(jazyk="česky","Stav v běžném účetním období",IF(jazyk="anglicky","Current period",IF(jazyk="německy","Laufende Periode","-")))</f>
        <v>Stav v běžném účetním období</v>
      </c>
      <c r="M5" s="434" t="str">
        <f>IF(jazyk="česky","Stav v minulém účetním období",IF(jazyk="anglicky","Prior period",IF(jazyk="německy","Vorjahr","-")))</f>
        <v>Stav v minulém účetním období</v>
      </c>
      <c r="N5" s="14"/>
      <c r="O5" s="324">
        <f>-(ROUND(SUMIFS(DATA!$Y:$Y,DATA!$C:$C,INDEX!$C$12,DATA!$N:$N,$B5)+SUMIFS(DATA!$Y:$Y,DATA!$C:$C,INDEX!$C$12,DATA!$M:$M,"Výsledovka"),0)+SUMIF($I:$I,"-",L:L))+SUM(O8:O73)</f>
        <v>0</v>
      </c>
      <c r="P5" s="324">
        <f>-(ROUND(SUMIFS(DATA!$Y:$Y,DATA!$C:$C,INDEX!$D$12,DATA!$N:$N,$B5),0)-'VÝKAZ ZZ'!M67+SUMIF($I:$I,"-",M:M))+SUM(P8:P73)</f>
        <v>0</v>
      </c>
    </row>
    <row r="6" spans="1:16" ht="12.75" customHeight="1" x14ac:dyDescent="0.2">
      <c r="G6" s="154"/>
      <c r="H6" s="155"/>
      <c r="I6" s="156"/>
      <c r="J6" s="157"/>
      <c r="K6" s="158" t="str">
        <f>IF(jazyk="česky","řádku",IF(jazyk="anglicky","Line",IF(jazyk="německy","Zeile","-")))</f>
        <v>řádku</v>
      </c>
      <c r="L6" s="433"/>
      <c r="M6" s="435"/>
      <c r="N6" s="14"/>
      <c r="O6" s="325" t="s">
        <v>466</v>
      </c>
      <c r="P6" s="325" t="s">
        <v>467</v>
      </c>
    </row>
    <row r="7" spans="1:16" ht="13.5" customHeight="1" thickBot="1" x14ac:dyDescent="0.25">
      <c r="B7" s="73" t="s">
        <v>808</v>
      </c>
      <c r="G7" s="427" t="s">
        <v>294</v>
      </c>
      <c r="H7" s="428"/>
      <c r="I7" s="429"/>
      <c r="J7" s="264" t="s">
        <v>272</v>
      </c>
      <c r="K7" s="265" t="s">
        <v>273</v>
      </c>
      <c r="L7" s="260">
        <v>5</v>
      </c>
      <c r="M7" s="334">
        <v>6</v>
      </c>
      <c r="N7" s="14"/>
      <c r="O7" s="326">
        <f>ROUND(AKTIVA!N8,0)-SUMIF($I:$I,"-",L:L)</f>
        <v>0</v>
      </c>
      <c r="P7" s="326">
        <f>ROUND(AKTIVA!O8,0)-SUMIF($I:$I,"-",M:M)</f>
        <v>0</v>
      </c>
    </row>
    <row r="8" spans="1:16" ht="27" thickTop="1" x14ac:dyDescent="0.2">
      <c r="F8" s="69"/>
      <c r="G8" s="386"/>
      <c r="H8" s="387"/>
      <c r="I8" s="388"/>
      <c r="J8" s="335" t="str">
        <f>VLOOKUP(K8,'řádky R'!A:M,13,0)</f>
        <v>PASIVA CELKEM   (ř. 68 + 88 + 121)</v>
      </c>
      <c r="K8" s="389">
        <v>67</v>
      </c>
      <c r="L8" s="336">
        <f>IF($E8=3,ROUND(-SUMIFS(DATA!$Y:$Y,DATA!$C:$C,INDEX!$C$12,DATA!$N:$N,$B8,DATA!$S:$S,$K8),0)+O8,IF($E8=2,SUMIFS(L:L,$E:$E,3,$G:$G,$G8,$H:$H,$H8),IF($E8=1,SUMIFS(L:L,$E:$E,2,$G:$G,$G8),SUMIF($I:$I,"-",L:L))))</f>
        <v>0</v>
      </c>
      <c r="M8" s="337">
        <f>IF($E8=3,ROUND(-SUMIFS(DATA!$Y:$Y,DATA!$C:$C,INDEX!$D$12,DATA!$N:$N,$B8,DATA!$S:$S,$K8),0)+P8,IF($E8=2,SUMIFS(M:M,$E:$E,3,$G:$G,$G8,$H:$H,$H8),IF($E8=1,SUMIFS(M:M,$E:$E,2,$G:$G,$G8),SUMIF($I:$I,"-",M:M))))</f>
        <v>0</v>
      </c>
      <c r="N8" s="14"/>
    </row>
    <row r="9" spans="1:16" ht="26.25" x14ac:dyDescent="0.2">
      <c r="A9" s="51">
        <v>-1</v>
      </c>
      <c r="B9" s="73" t="s">
        <v>808</v>
      </c>
      <c r="C9" s="51" t="str">
        <f t="shared" ref="C9:C64" si="0">IF(G9&gt;0,G9,C8)</f>
        <v>A.</v>
      </c>
      <c r="D9" s="51">
        <f t="shared" ref="D9:D64" si="1">IF(H9&gt;0,H9,D8)</f>
        <v>0</v>
      </c>
      <c r="E9" s="51">
        <v>1</v>
      </c>
      <c r="F9" s="69"/>
      <c r="G9" s="338" t="s">
        <v>274</v>
      </c>
      <c r="H9" s="339"/>
      <c r="I9" s="340" t="s">
        <v>306</v>
      </c>
      <c r="J9" s="276" t="str">
        <f>VLOOKUP(K9,'řádky R'!A:M,13,0)</f>
        <v>Vlastní kapitál   (ř. 69 + 73 + 80 + 83 + 87 )</v>
      </c>
      <c r="K9" s="341">
        <v>68</v>
      </c>
      <c r="L9" s="342">
        <f>IF($E9=3,ROUND(-SUMIFS(DATA!$Y:$Y,DATA!$C:$C,INDEX!$C$12,DATA!$N:$N,$B9,DATA!$S:$S,$K9),0)+O9,IF($E9=2,SUMIFS(L:L,$E:$E,3,$G:$G,$G9,$H:$H,$H9),IF($E9=1,SUMIFS(L:L,$E:$E,2,$G:$G,$G9),SUMIF($I:$I,"-",L:L))))</f>
        <v>0</v>
      </c>
      <c r="M9" s="343">
        <f>IF($E9=3,ROUND(-SUMIFS(DATA!$Y:$Y,DATA!$C:$C,INDEX!$D$12,DATA!$N:$N,$B9,DATA!$S:$S,$K9),0)+P9,IF($E9=2,SUMIFS(M:M,$E:$E,3,$G:$G,$G9,$H:$H,$H9),IF($E9=1,SUMIFS(M:M,$E:$E,2,$G:$G,$G9),SUMIF($I:$I,"-",M:M))))</f>
        <v>0</v>
      </c>
      <c r="N9" s="14"/>
    </row>
    <row r="10" spans="1:16" ht="26.25" x14ac:dyDescent="0.2">
      <c r="A10" s="51">
        <v>-1</v>
      </c>
      <c r="B10" s="73" t="s">
        <v>808</v>
      </c>
      <c r="C10" s="51" t="str">
        <f t="shared" si="0"/>
        <v>A.</v>
      </c>
      <c r="D10" s="51" t="str">
        <f t="shared" si="1"/>
        <v>I.</v>
      </c>
      <c r="E10" s="51">
        <v>2</v>
      </c>
      <c r="F10" s="69"/>
      <c r="G10" s="304" t="s">
        <v>274</v>
      </c>
      <c r="H10" s="305" t="s">
        <v>276</v>
      </c>
      <c r="I10" s="306"/>
      <c r="J10" s="202" t="str">
        <f>VLOOKUP(K10,'řádky R'!A:M,13,0)</f>
        <v>Základní kapitál (ř. 70 až  72 )</v>
      </c>
      <c r="K10" s="307">
        <v>69</v>
      </c>
      <c r="L10" s="186">
        <f>IF($E10=3,ROUND(-SUMIFS(DATA!$Y:$Y,DATA!$C:$C,INDEX!$C$12,DATA!$N:$N,$B10,DATA!$S:$S,$K10),0)+O10,IF($E10=2,SUMIFS(L:L,$E:$E,3,$G:$G,$G10,$H:$H,$H10),IF($E10=1,SUMIFS(L:L,$E:$E,2,$G:$G,$G10),SUMIF($I:$I,"-",L:L))))</f>
        <v>0</v>
      </c>
      <c r="M10" s="204">
        <f>IF($E10=3,ROUND(-SUMIFS(DATA!$Y:$Y,DATA!$C:$C,INDEX!$D$12,DATA!$N:$N,$B10,DATA!$S:$S,$K10),0)+P10,IF($E10=2,SUMIFS(M:M,$E:$E,3,$G:$G,$G10,$H:$H,$H10),IF($E10=1,SUMIFS(M:M,$E:$E,2,$G:$G,$G10),SUMIF($I:$I,"-",M:M))))</f>
        <v>0</v>
      </c>
      <c r="N10" s="14"/>
    </row>
    <row r="11" spans="1:16" ht="26.25" x14ac:dyDescent="0.2">
      <c r="A11" s="51">
        <v>-1</v>
      </c>
      <c r="B11" s="73" t="s">
        <v>808</v>
      </c>
      <c r="C11" s="51" t="str">
        <f t="shared" si="0"/>
        <v>A.</v>
      </c>
      <c r="D11" s="51" t="str">
        <f t="shared" si="1"/>
        <v>I.</v>
      </c>
      <c r="E11" s="51">
        <v>3</v>
      </c>
      <c r="F11" s="69"/>
      <c r="G11" s="188" t="s">
        <v>274</v>
      </c>
      <c r="H11" s="189" t="s">
        <v>276</v>
      </c>
      <c r="I11" s="207" t="s">
        <v>277</v>
      </c>
      <c r="J11" s="344" t="str">
        <f>VLOOKUP(K11,'řádky R'!A:M,13,0)</f>
        <v>Základní kapitál</v>
      </c>
      <c r="K11" s="345">
        <v>70</v>
      </c>
      <c r="L11" s="346">
        <f>IF($E11=3,ROUND(-SUMIFS(DATA!$Y:$Y,DATA!$C:$C,INDEX!$C$12,DATA!$N:$N,$B11,DATA!$S:$S,$K11),0)+O11,IF($E11=2,SUMIFS(L:L,$E:$E,3,$G:$G,$G11,$H:$H,$H11),IF($E11=1,SUMIFS(L:L,$E:$E,2,$G:$G,$G11),SUMIF($I:$I,"-",L:L))))</f>
        <v>0</v>
      </c>
      <c r="M11" s="347">
        <f>IF($E11=3,ROUND(-SUMIFS(DATA!$Y:$Y,DATA!$C:$C,INDEX!$D$12,DATA!$N:$N,$B11,DATA!$S:$S,$K11),0)+P11,IF($E11=2,SUMIFS(M:M,$E:$E,3,$G:$G,$G11,$H:$H,$H11),IF($E11=1,SUMIFS(M:M,$E:$E,2,$G:$G,$G11),SUMIF($I:$I,"-",M:M))))</f>
        <v>0</v>
      </c>
      <c r="N11" s="14"/>
      <c r="O11" s="137"/>
      <c r="P11" s="137"/>
    </row>
    <row r="12" spans="1:16" ht="26.25" x14ac:dyDescent="0.2">
      <c r="A12" s="51">
        <v>-1</v>
      </c>
      <c r="B12" s="73" t="s">
        <v>808</v>
      </c>
      <c r="C12" s="51" t="str">
        <f t="shared" si="0"/>
        <v>A.</v>
      </c>
      <c r="D12" s="51" t="str">
        <f t="shared" si="1"/>
        <v>I.</v>
      </c>
      <c r="E12" s="51">
        <v>3</v>
      </c>
      <c r="F12" s="69"/>
      <c r="G12" s="348" t="s">
        <v>274</v>
      </c>
      <c r="H12" s="194" t="s">
        <v>276</v>
      </c>
      <c r="I12" s="189" t="s">
        <v>278</v>
      </c>
      <c r="J12" s="190" t="str">
        <f>VLOOKUP(K12,'řádky R'!A:M,13,0)</f>
        <v>Vlastní akcie a vlastní obchodní podíly (-)</v>
      </c>
      <c r="K12" s="349">
        <v>71</v>
      </c>
      <c r="L12" s="192">
        <f>IF($E12=3,ROUND(-SUMIFS(DATA!$Y:$Y,DATA!$C:$C,INDEX!$C$12,DATA!$N:$N,$B12,DATA!$S:$S,$K12),0)+O12,IF($E12=2,SUMIFS(L:L,$E:$E,3,$G:$G,$G12,$H:$H,$H12),IF($E12=1,SUMIFS(L:L,$E:$E,2,$G:$G,$G12),SUMIF($I:$I,"-",L:L))))</f>
        <v>0</v>
      </c>
      <c r="M12" s="193">
        <f>IF($E12=3,ROUND(-SUMIFS(DATA!$Y:$Y,DATA!$C:$C,INDEX!$D$12,DATA!$N:$N,$B12,DATA!$S:$S,$K12),0)+P12,IF($E12=2,SUMIFS(M:M,$E:$E,3,$G:$G,$G12,$H:$H,$H12),IF($E12=1,SUMIFS(M:M,$E:$E,2,$G:$G,$G12),SUMIF($I:$I,"-",M:M))))</f>
        <v>0</v>
      </c>
      <c r="N12" s="14"/>
      <c r="O12" s="137"/>
      <c r="P12" s="137"/>
    </row>
    <row r="13" spans="1:16" ht="26.25" x14ac:dyDescent="0.2">
      <c r="A13" s="51">
        <v>-1</v>
      </c>
      <c r="B13" s="73" t="s">
        <v>808</v>
      </c>
      <c r="C13" s="51" t="str">
        <f t="shared" si="0"/>
        <v>A.</v>
      </c>
      <c r="D13" s="51" t="str">
        <f t="shared" si="1"/>
        <v>I.</v>
      </c>
      <c r="E13" s="51">
        <v>3</v>
      </c>
      <c r="F13" s="69"/>
      <c r="G13" s="348" t="s">
        <v>274</v>
      </c>
      <c r="H13" s="350" t="s">
        <v>276</v>
      </c>
      <c r="I13" s="189" t="s">
        <v>279</v>
      </c>
      <c r="J13" s="190" t="str">
        <f>VLOOKUP(K13,'řádky R'!A:M,13,0)</f>
        <v>Změny základního kapitálu</v>
      </c>
      <c r="K13" s="349">
        <v>72</v>
      </c>
      <c r="L13" s="192">
        <f>IF($E13=3,ROUND(-SUMIFS(DATA!$Y:$Y,DATA!$C:$C,INDEX!$C$12,DATA!$N:$N,$B13,DATA!$S:$S,$K13),0)+O13,IF($E13=2,SUMIFS(L:L,$E:$E,3,$G:$G,$G13,$H:$H,$H13),IF($E13=1,SUMIFS(L:L,$E:$E,2,$G:$G,$G13),SUMIF($I:$I,"-",L:L))))</f>
        <v>0</v>
      </c>
      <c r="M13" s="193">
        <f>IF($E13=3,ROUND(-SUMIFS(DATA!$Y:$Y,DATA!$C:$C,INDEX!$D$12,DATA!$N:$N,$B13,DATA!$S:$S,$K13),0)+P13,IF($E13=2,SUMIFS(M:M,$E:$E,3,$G:$G,$G13,$H:$H,$H13),IF($E13=1,SUMIFS(M:M,$E:$E,2,$G:$G,$G13),SUMIF($I:$I,"-",M:M))))</f>
        <v>0</v>
      </c>
      <c r="N13" s="14"/>
      <c r="O13" s="137"/>
      <c r="P13" s="137"/>
    </row>
    <row r="14" spans="1:16" ht="26.25" x14ac:dyDescent="0.2">
      <c r="A14" s="51">
        <v>-1</v>
      </c>
      <c r="B14" s="73" t="s">
        <v>808</v>
      </c>
      <c r="C14" s="51" t="str">
        <f t="shared" si="0"/>
        <v>A.</v>
      </c>
      <c r="D14" s="51" t="str">
        <f t="shared" si="1"/>
        <v>II.</v>
      </c>
      <c r="E14" s="51">
        <v>2</v>
      </c>
      <c r="F14" s="69"/>
      <c r="G14" s="304" t="s">
        <v>274</v>
      </c>
      <c r="H14" s="305" t="s">
        <v>286</v>
      </c>
      <c r="I14" s="306"/>
      <c r="J14" s="202" t="str">
        <f>VLOOKUP(K14,'řádky R'!A:M,13,0)</f>
        <v>Kapitálové fondy   (ř. 74 až 79)</v>
      </c>
      <c r="K14" s="307">
        <v>73</v>
      </c>
      <c r="L14" s="186">
        <f>IF($E14=3,ROUND(-SUMIFS(DATA!$Y:$Y,DATA!$C:$C,INDEX!$C$12,DATA!$N:$N,$B14,DATA!$S:$S,$K14),0)+O14,IF($E14=2,SUMIFS(L:L,$E:$E,3,$G:$G,$G14,$H:$H,$H14),IF($E14=1,SUMIFS(L:L,$E:$E,2,$G:$G,$G14),SUMIF($I:$I,"-",L:L))))</f>
        <v>0</v>
      </c>
      <c r="M14" s="204">
        <f>IF($E14=3,ROUND(-SUMIFS(DATA!$Y:$Y,DATA!$C:$C,INDEX!$D$12,DATA!$N:$N,$B14,DATA!$S:$S,$K14),0)+P14,IF($E14=2,SUMIFS(M:M,$E:$E,3,$G:$G,$G14,$H:$H,$H14),IF($E14=1,SUMIFS(M:M,$E:$E,2,$G:$G,$G14),SUMIF($I:$I,"-",M:M))))</f>
        <v>0</v>
      </c>
      <c r="N14" s="14"/>
    </row>
    <row r="15" spans="1:16" ht="26.25" x14ac:dyDescent="0.2">
      <c r="A15" s="51">
        <v>-1</v>
      </c>
      <c r="B15" s="73" t="s">
        <v>808</v>
      </c>
      <c r="C15" s="51" t="str">
        <f t="shared" si="0"/>
        <v>A.</v>
      </c>
      <c r="D15" s="51" t="str">
        <f t="shared" si="1"/>
        <v>II.</v>
      </c>
      <c r="E15" s="51">
        <v>3</v>
      </c>
      <c r="F15" s="69"/>
      <c r="G15" s="205" t="s">
        <v>274</v>
      </c>
      <c r="H15" s="206" t="s">
        <v>286</v>
      </c>
      <c r="I15" s="207" t="s">
        <v>277</v>
      </c>
      <c r="J15" s="208" t="str">
        <f>VLOOKUP(K15,'řádky R'!A:M,13,0)</f>
        <v>Emisní ážio</v>
      </c>
      <c r="K15" s="282">
        <v>74</v>
      </c>
      <c r="L15" s="210">
        <f>IF($E15=3,ROUND(-SUMIFS(DATA!$Y:$Y,DATA!$C:$C,INDEX!$C$12,DATA!$N:$N,$B15,DATA!$S:$S,$K15),0)+O15,IF($E15=2,SUMIFS(L:L,$E:$E,3,$G:$G,$G15,$H:$H,$H15),IF($E15=1,SUMIFS(L:L,$E:$E,2,$G:$G,$G15),SUMIF($I:$I,"-",L:L))))</f>
        <v>0</v>
      </c>
      <c r="M15" s="211">
        <f>IF($E15=3,ROUND(-SUMIFS(DATA!$Y:$Y,DATA!$C:$C,INDEX!$D$12,DATA!$N:$N,$B15,DATA!$S:$S,$K15),0)+P15,IF($E15=2,SUMIFS(M:M,$E:$E,3,$G:$G,$G15,$H:$H,$H15),IF($E15=1,SUMIFS(M:M,$E:$E,2,$G:$G,$G15),SUMIF($I:$I,"-",M:M))))</f>
        <v>0</v>
      </c>
      <c r="N15" s="14"/>
      <c r="O15" s="137"/>
      <c r="P15" s="137"/>
    </row>
    <row r="16" spans="1:16" ht="26.25" x14ac:dyDescent="0.2">
      <c r="A16" s="51">
        <v>-1</v>
      </c>
      <c r="B16" s="73" t="s">
        <v>808</v>
      </c>
      <c r="C16" s="51" t="str">
        <f t="shared" si="0"/>
        <v>A.</v>
      </c>
      <c r="D16" s="51" t="str">
        <f t="shared" si="1"/>
        <v>II.</v>
      </c>
      <c r="E16" s="51">
        <v>3</v>
      </c>
      <c r="F16" s="69"/>
      <c r="G16" s="212" t="s">
        <v>274</v>
      </c>
      <c r="H16" s="350" t="s">
        <v>286</v>
      </c>
      <c r="I16" s="207" t="s">
        <v>278</v>
      </c>
      <c r="J16" s="208" t="str">
        <f>VLOOKUP(K16,'řádky R'!A:M,13,0)</f>
        <v>Ostatní kapitálové fondy</v>
      </c>
      <c r="K16" s="282">
        <v>75</v>
      </c>
      <c r="L16" s="210">
        <f>IF($E16=3,ROUND(-SUMIFS(DATA!$Y:$Y,DATA!$C:$C,INDEX!$C$12,DATA!$N:$N,$B16,DATA!$S:$S,$K16),0)+O16,IF($E16=2,SUMIFS(L:L,$E:$E,3,$G:$G,$G16,$H:$H,$H16),IF($E16=1,SUMIFS(L:L,$E:$E,2,$G:$G,$G16),SUMIF($I:$I,"-",L:L))))</f>
        <v>0</v>
      </c>
      <c r="M16" s="211">
        <f>IF($E16=3,ROUND(-SUMIFS(DATA!$Y:$Y,DATA!$C:$C,INDEX!$D$12,DATA!$N:$N,$B16,DATA!$S:$S,$K16),0)+P16,IF($E16=2,SUMIFS(M:M,$E:$E,3,$G:$G,$G16,$H:$H,$H16),IF($E16=1,SUMIFS(M:M,$E:$E,2,$G:$G,$G16),SUMIF($I:$I,"-",M:M))))</f>
        <v>0</v>
      </c>
      <c r="N16" s="14"/>
      <c r="O16" s="137"/>
      <c r="P16" s="137"/>
    </row>
    <row r="17" spans="1:16" ht="26.25" x14ac:dyDescent="0.2">
      <c r="A17" s="51">
        <v>-1</v>
      </c>
      <c r="B17" s="73" t="s">
        <v>808</v>
      </c>
      <c r="C17" s="51" t="str">
        <f t="shared" si="0"/>
        <v>A.</v>
      </c>
      <c r="D17" s="51" t="str">
        <f t="shared" si="1"/>
        <v>II.</v>
      </c>
      <c r="E17" s="51">
        <v>3</v>
      </c>
      <c r="F17" s="69"/>
      <c r="G17" s="212" t="s">
        <v>274</v>
      </c>
      <c r="H17" s="350" t="s">
        <v>286</v>
      </c>
      <c r="I17" s="207" t="s">
        <v>279</v>
      </c>
      <c r="J17" s="208" t="str">
        <f>VLOOKUP(K17,'řádky R'!A:M,13,0)</f>
        <v>Oceňovací rozdíly z přecenění majetku a závazků</v>
      </c>
      <c r="K17" s="282">
        <v>76</v>
      </c>
      <c r="L17" s="210">
        <f>IF($E17=3,ROUND(-SUMIFS(DATA!$Y:$Y,DATA!$C:$C,INDEX!$C$12,DATA!$N:$N,$B17,DATA!$S:$S,$K17),0)+O17,IF($E17=2,SUMIFS(L:L,$E:$E,3,$G:$G,$G17,$H:$H,$H17),IF($E17=1,SUMIFS(L:L,$E:$E,2,$G:$G,$G17),SUMIF($I:$I,"-",L:L))))</f>
        <v>0</v>
      </c>
      <c r="M17" s="211">
        <f>IF($E17=3,ROUND(-SUMIFS(DATA!$Y:$Y,DATA!$C:$C,INDEX!$D$12,DATA!$N:$N,$B17,DATA!$S:$S,$K17),0)+P17,IF($E17=2,SUMIFS(M:M,$E:$E,3,$G:$G,$G17,$H:$H,$H17),IF($E17=1,SUMIFS(M:M,$E:$E,2,$G:$G,$G17),SUMIF($I:$I,"-",M:M))))</f>
        <v>0</v>
      </c>
      <c r="N17" s="14"/>
      <c r="O17" s="137"/>
      <c r="P17" s="137"/>
    </row>
    <row r="18" spans="1:16" ht="26.25" x14ac:dyDescent="0.2">
      <c r="A18" s="51">
        <v>-1</v>
      </c>
      <c r="B18" s="73" t="s">
        <v>808</v>
      </c>
      <c r="C18" s="51" t="str">
        <f t="shared" si="0"/>
        <v>A.</v>
      </c>
      <c r="D18" s="51" t="str">
        <f t="shared" si="1"/>
        <v>II.</v>
      </c>
      <c r="E18" s="51">
        <v>3</v>
      </c>
      <c r="F18" s="69"/>
      <c r="G18" s="241" t="s">
        <v>274</v>
      </c>
      <c r="H18" s="350" t="s">
        <v>286</v>
      </c>
      <c r="I18" s="236" t="s">
        <v>280</v>
      </c>
      <c r="J18" s="208" t="str">
        <f>VLOOKUP(K18,'řádky R'!A:M,13,0)</f>
        <v>Oceňovací rozdíly z přecenění při přeměnách společností</v>
      </c>
      <c r="K18" s="282">
        <v>77</v>
      </c>
      <c r="L18" s="210">
        <f>IF($E18=3,ROUND(-SUMIFS(DATA!$Y:$Y,DATA!$C:$C,INDEX!$C$12,DATA!$N:$N,$B18,DATA!$S:$S,$K18),0)+O18,IF($E18=2,SUMIFS(L:L,$E:$E,3,$G:$G,$G18,$H:$H,$H18),IF($E18=1,SUMIFS(L:L,$E:$E,2,$G:$G,$G18),SUMIF($I:$I,"-",L:L))))</f>
        <v>0</v>
      </c>
      <c r="M18" s="211">
        <f>IF($E18=3,ROUND(-SUMIFS(DATA!$Y:$Y,DATA!$C:$C,INDEX!$D$12,DATA!$N:$N,$B18,DATA!$S:$S,$K18),0)+P18,IF($E18=2,SUMIFS(M:M,$E:$E,3,$G:$G,$G18,$H:$H,$H18),IF($E18=1,SUMIFS(M:M,$E:$E,2,$G:$G,$G18),SUMIF($I:$I,"-",M:M))))</f>
        <v>0</v>
      </c>
      <c r="N18" s="14"/>
      <c r="O18" s="137"/>
      <c r="P18" s="137"/>
    </row>
    <row r="19" spans="1:16" ht="26.25" x14ac:dyDescent="0.2">
      <c r="A19" s="51">
        <v>-1</v>
      </c>
      <c r="B19" s="73" t="s">
        <v>808</v>
      </c>
      <c r="C19" s="51" t="str">
        <f t="shared" si="0"/>
        <v>A.</v>
      </c>
      <c r="D19" s="51" t="str">
        <f t="shared" si="1"/>
        <v>II.</v>
      </c>
      <c r="E19" s="51">
        <v>3</v>
      </c>
      <c r="F19" s="69"/>
      <c r="G19" s="348" t="s">
        <v>274</v>
      </c>
      <c r="H19" s="194" t="s">
        <v>286</v>
      </c>
      <c r="I19" s="189" t="s">
        <v>281</v>
      </c>
      <c r="J19" s="190" t="str">
        <f>VLOOKUP(K19,'řádky R'!A:M,13,0)</f>
        <v>Rozdíly z přeměn společností</v>
      </c>
      <c r="K19" s="349">
        <v>78</v>
      </c>
      <c r="L19" s="192">
        <f>IF($E19=3,ROUND(-SUMIFS(DATA!$Y:$Y,DATA!$C:$C,INDEX!$C$12,DATA!$N:$N,$B19,DATA!$S:$S,$K19),0)+O19,IF($E19=2,SUMIFS(L:L,$E:$E,3,$G:$G,$G19,$H:$H,$H19),IF($E19=1,SUMIFS(L:L,$E:$E,2,$G:$G,$G19),SUMIF($I:$I,"-",L:L))))</f>
        <v>0</v>
      </c>
      <c r="M19" s="193">
        <f>IF($E19=3,ROUND(-SUMIFS(DATA!$Y:$Y,DATA!$C:$C,INDEX!$D$12,DATA!$N:$N,$B19,DATA!$S:$S,$K19),0)+P19,IF($E19=2,SUMIFS(M:M,$E:$E,3,$G:$G,$G19,$H:$H,$H19),IF($E19=1,SUMIFS(M:M,$E:$E,2,$G:$G,$G19),SUMIF($I:$I,"-",M:M))))</f>
        <v>0</v>
      </c>
      <c r="N19" s="14"/>
      <c r="O19" s="137"/>
      <c r="P19" s="137"/>
    </row>
    <row r="20" spans="1:16" ht="26.25" x14ac:dyDescent="0.2">
      <c r="A20" s="51">
        <v>-1</v>
      </c>
      <c r="B20" s="73" t="s">
        <v>808</v>
      </c>
      <c r="C20" s="51" t="str">
        <f t="shared" si="0"/>
        <v>A.</v>
      </c>
      <c r="D20" s="51" t="str">
        <f t="shared" si="1"/>
        <v>II.</v>
      </c>
      <c r="E20" s="51">
        <v>3</v>
      </c>
      <c r="F20" s="69"/>
      <c r="G20" s="348" t="s">
        <v>274</v>
      </c>
      <c r="H20" s="350" t="s">
        <v>286</v>
      </c>
      <c r="I20" s="189" t="s">
        <v>282</v>
      </c>
      <c r="J20" s="190" t="str">
        <f>VLOOKUP(K20,'řádky R'!A:M,13,0)</f>
        <v>Rozdíly z ocenění při přeměnách společností</v>
      </c>
      <c r="K20" s="349">
        <v>79</v>
      </c>
      <c r="L20" s="192">
        <f>IF($E20=3,ROUND(-SUMIFS(DATA!$Y:$Y,DATA!$C:$C,INDEX!$C$12,DATA!$N:$N,$B20,DATA!$S:$S,$K20),0)+O20,IF($E20=2,SUMIFS(L:L,$E:$E,3,$G:$G,$G20,$H:$H,$H20),IF($E20=1,SUMIFS(L:L,$E:$E,2,$G:$G,$G20),SUMIF($I:$I,"-",L:L))))</f>
        <v>0</v>
      </c>
      <c r="M20" s="193">
        <f>IF($E20=3,ROUND(-SUMIFS(DATA!$Y:$Y,DATA!$C:$C,INDEX!$D$12,DATA!$N:$N,$B20,DATA!$S:$S,$K20),0)+P20,IF($E20=2,SUMIFS(M:M,$E:$E,3,$G:$G,$G20,$H:$H,$H20),IF($E20=1,SUMIFS(M:M,$E:$E,2,$G:$G,$G20),SUMIF($I:$I,"-",M:M))))</f>
        <v>0</v>
      </c>
      <c r="N20" s="14"/>
      <c r="O20" s="137"/>
      <c r="P20" s="137"/>
    </row>
    <row r="21" spans="1:16" ht="26.25" x14ac:dyDescent="0.2">
      <c r="A21" s="51">
        <v>-1</v>
      </c>
      <c r="B21" s="73" t="s">
        <v>808</v>
      </c>
      <c r="C21" s="51" t="str">
        <f t="shared" si="0"/>
        <v>A.</v>
      </c>
      <c r="D21" s="51" t="str">
        <f t="shared" si="1"/>
        <v>III.</v>
      </c>
      <c r="E21" s="51">
        <v>2</v>
      </c>
      <c r="F21" s="69"/>
      <c r="G21" s="304" t="s">
        <v>274</v>
      </c>
      <c r="H21" s="305" t="s">
        <v>291</v>
      </c>
      <c r="I21" s="306"/>
      <c r="J21" s="202" t="str">
        <f>VLOOKUP(K21,'řádky R'!A:M,13,0)</f>
        <v>Rezervní fondy, nedělitelný fond  a ostatní fondy ze zisku  (ř. 81 + 82 )</v>
      </c>
      <c r="K21" s="307">
        <v>80</v>
      </c>
      <c r="L21" s="186">
        <f>IF($E21=3,ROUND(-SUMIFS(DATA!$Y:$Y,DATA!$C:$C,INDEX!$C$12,DATA!$N:$N,$B21,DATA!$S:$S,$K21),0)+O21,IF($E21=2,SUMIFS(L:L,$E:$E,3,$G:$G,$G21,$H:$H,$H21),IF($E21=1,SUMIFS(L:L,$E:$E,2,$G:$G,$G21),SUMIF($I:$I,"-",L:L))))</f>
        <v>0</v>
      </c>
      <c r="M21" s="204">
        <f>IF($E21=3,ROUND(-SUMIFS(DATA!$Y:$Y,DATA!$C:$C,INDEX!$D$12,DATA!$N:$N,$B21,DATA!$S:$S,$K21),0)+P21,IF($E21=2,SUMIFS(M:M,$E:$E,3,$G:$G,$G21,$H:$H,$H21),IF($E21=1,SUMIFS(M:M,$E:$E,2,$G:$G,$G21),SUMIF($I:$I,"-",M:M))))</f>
        <v>0</v>
      </c>
      <c r="N21" s="14"/>
    </row>
    <row r="22" spans="1:16" ht="26.25" x14ac:dyDescent="0.2">
      <c r="A22" s="51">
        <v>-1</v>
      </c>
      <c r="B22" s="73" t="s">
        <v>808</v>
      </c>
      <c r="C22" s="51" t="str">
        <f t="shared" si="0"/>
        <v>A.</v>
      </c>
      <c r="D22" s="51" t="str">
        <f t="shared" si="1"/>
        <v>III.</v>
      </c>
      <c r="E22" s="51">
        <v>3</v>
      </c>
      <c r="F22" s="69"/>
      <c r="G22" s="281" t="s">
        <v>274</v>
      </c>
      <c r="H22" s="235" t="s">
        <v>291</v>
      </c>
      <c r="I22" s="236" t="s">
        <v>277</v>
      </c>
      <c r="J22" s="208" t="str">
        <f>VLOOKUP(K22,'řádky R'!A:M,13,0)</f>
        <v>Zákonný rezervní fond / Nedělitelný fond</v>
      </c>
      <c r="K22" s="282">
        <v>81</v>
      </c>
      <c r="L22" s="210">
        <f>IF($E22=3,ROUND(-SUMIFS(DATA!$Y:$Y,DATA!$C:$C,INDEX!$C$12,DATA!$N:$N,$B22,DATA!$S:$S,$K22),0)+O22,IF($E22=2,SUMIFS(L:L,$E:$E,3,$G:$G,$G22,$H:$H,$H22),IF($E22=1,SUMIFS(L:L,$E:$E,2,$G:$G,$G22),SUMIF($I:$I,"-",L:L))))</f>
        <v>0</v>
      </c>
      <c r="M22" s="211">
        <f>IF($E22=3,ROUND(-SUMIFS(DATA!$Y:$Y,DATA!$C:$C,INDEX!$D$12,DATA!$N:$N,$B22,DATA!$S:$S,$K22),0)+P22,IF($E22=2,SUMIFS(M:M,$E:$E,3,$G:$G,$G22,$H:$H,$H22),IF($E22=1,SUMIFS(M:M,$E:$E,2,$G:$G,$G22),SUMIF($I:$I,"-",M:M))))</f>
        <v>0</v>
      </c>
      <c r="N22" s="14"/>
      <c r="O22" s="137"/>
      <c r="P22" s="137"/>
    </row>
    <row r="23" spans="1:16" ht="26.25" x14ac:dyDescent="0.2">
      <c r="A23" s="51">
        <v>-1</v>
      </c>
      <c r="B23" s="73" t="s">
        <v>808</v>
      </c>
      <c r="C23" s="51" t="str">
        <f t="shared" si="0"/>
        <v>A.</v>
      </c>
      <c r="D23" s="51" t="str">
        <f t="shared" si="1"/>
        <v>III.</v>
      </c>
      <c r="E23" s="51">
        <v>3</v>
      </c>
      <c r="F23" s="69"/>
      <c r="G23" s="241" t="s">
        <v>274</v>
      </c>
      <c r="H23" s="237" t="s">
        <v>291</v>
      </c>
      <c r="I23" s="236" t="s">
        <v>278</v>
      </c>
      <c r="J23" s="208" t="str">
        <f>VLOOKUP(K23,'řádky R'!A:M,13,0)</f>
        <v>Statutární a ostatní fondy</v>
      </c>
      <c r="K23" s="282">
        <v>82</v>
      </c>
      <c r="L23" s="210">
        <f>IF($E23=3,ROUND(-SUMIFS(DATA!$Y:$Y,DATA!$C:$C,INDEX!$C$12,DATA!$N:$N,$B23,DATA!$S:$S,$K23),0)+O23,IF($E23=2,SUMIFS(L:L,$E:$E,3,$G:$G,$G23,$H:$H,$H23),IF($E23=1,SUMIFS(L:L,$E:$E,2,$G:$G,$G23),SUMIF($I:$I,"-",L:L))))</f>
        <v>0</v>
      </c>
      <c r="M23" s="211">
        <f>IF($E23=3,ROUND(-SUMIFS(DATA!$Y:$Y,DATA!$C:$C,INDEX!$D$12,DATA!$N:$N,$B23,DATA!$S:$S,$K23),0)+P23,IF($E23=2,SUMIFS(M:M,$E:$E,3,$G:$G,$G23,$H:$H,$H23),IF($E23=1,SUMIFS(M:M,$E:$E,2,$G:$G,$G23),SUMIF($I:$I,"-",M:M))))</f>
        <v>0</v>
      </c>
      <c r="N23" s="14"/>
      <c r="O23" s="137"/>
      <c r="P23" s="137"/>
    </row>
    <row r="24" spans="1:16" ht="26.25" x14ac:dyDescent="0.2">
      <c r="A24" s="51">
        <v>-1</v>
      </c>
      <c r="B24" s="73" t="s">
        <v>808</v>
      </c>
      <c r="C24" s="51" t="str">
        <f t="shared" si="0"/>
        <v>A.</v>
      </c>
      <c r="D24" s="51" t="str">
        <f t="shared" si="1"/>
        <v>IV.</v>
      </c>
      <c r="E24" s="51">
        <v>2</v>
      </c>
      <c r="F24" s="69"/>
      <c r="G24" s="304" t="s">
        <v>274</v>
      </c>
      <c r="H24" s="305" t="s">
        <v>322</v>
      </c>
      <c r="I24" s="306"/>
      <c r="J24" s="202" t="str">
        <f>VLOOKUP(K24,'řádky R'!A:M,13,0)</f>
        <v>Výsledek hospodaření minulých let  (ř. 84 + 85 + 86)</v>
      </c>
      <c r="K24" s="307">
        <v>83</v>
      </c>
      <c r="L24" s="186">
        <f>IF($E24=3,ROUND(-SUMIFS(DATA!$Y:$Y,DATA!$C:$C,INDEX!$C$12,DATA!$N:$N,$B24,DATA!$S:$S,$K24),0)+O24,IF($E24=2,SUMIFS(L:L,$E:$E,3,$G:$G,$G24,$H:$H,$H24),IF($E24=1,SUMIFS(L:L,$E:$E,2,$G:$G,$G24),SUMIF($I:$I,"-",L:L))))</f>
        <v>0</v>
      </c>
      <c r="M24" s="204">
        <f>IF($E24=3,ROUND(-SUMIFS(DATA!$Y:$Y,DATA!$C:$C,INDEX!$D$12,DATA!$N:$N,$B24,DATA!$S:$S,$K24),0)+P24,IF($E24=2,SUMIFS(M:M,$E:$E,3,$G:$G,$G24,$H:$H,$H24),IF($E24=1,SUMIFS(M:M,$E:$E,2,$G:$G,$G24),SUMIF($I:$I,"-",M:M))))</f>
        <v>0</v>
      </c>
      <c r="N24" s="418" t="s">
        <v>920</v>
      </c>
    </row>
    <row r="25" spans="1:16" ht="26.25" x14ac:dyDescent="0.2">
      <c r="A25" s="51">
        <v>-1</v>
      </c>
      <c r="B25" s="73" t="s">
        <v>808</v>
      </c>
      <c r="C25" s="51" t="str">
        <f t="shared" si="0"/>
        <v>A.</v>
      </c>
      <c r="D25" s="51" t="str">
        <f t="shared" si="1"/>
        <v>IV.</v>
      </c>
      <c r="E25" s="51">
        <v>3</v>
      </c>
      <c r="F25" s="69"/>
      <c r="G25" s="234" t="s">
        <v>274</v>
      </c>
      <c r="H25" s="235" t="s">
        <v>322</v>
      </c>
      <c r="I25" s="236" t="s">
        <v>277</v>
      </c>
      <c r="J25" s="208" t="str">
        <f>VLOOKUP(K25,'řádky R'!A:M,13,0)</f>
        <v xml:space="preserve">Nerozdělený zisk minulých let </v>
      </c>
      <c r="K25" s="282">
        <v>84</v>
      </c>
      <c r="L25" s="210">
        <f>IF($E25=3,ROUND(-SUMIFS(DATA!$Y:$Y,DATA!$C:$C,INDEX!$C$12,DATA!$N:$N,$B25,DATA!$S:$S,$K25),0)+O25,IF($E25=2,SUMIFS(L:L,$E:$E,3,$G:$G,$G25,$H:$H,$H25),IF($E25=1,SUMIFS(L:L,$E:$E,2,$G:$G,$G25),SUMIF($I:$I,"-",L:L))))</f>
        <v>0</v>
      </c>
      <c r="M25" s="211">
        <f>IF($E25=3,ROUND(-SUMIFS(DATA!$Y:$Y,DATA!$C:$C,INDEX!$D$12,DATA!$N:$N,$B25,DATA!$S:$S,$K25),0)+P25,IF($E25=2,SUMIFS(M:M,$E:$E,3,$G:$G,$G25,$H:$H,$H25),IF($E25=1,SUMIFS(M:M,$E:$E,2,$G:$G,$G25),SUMIF($I:$I,"-",M:M))))</f>
        <v>0</v>
      </c>
      <c r="N25" s="418"/>
      <c r="O25" s="137"/>
      <c r="P25" s="137"/>
    </row>
    <row r="26" spans="1:16" ht="26.25" x14ac:dyDescent="0.2">
      <c r="A26" s="51">
        <v>-1</v>
      </c>
      <c r="B26" s="73" t="s">
        <v>808</v>
      </c>
      <c r="C26" s="51" t="str">
        <f t="shared" si="0"/>
        <v>A.</v>
      </c>
      <c r="D26" s="51" t="str">
        <f t="shared" si="1"/>
        <v>IV.</v>
      </c>
      <c r="E26" s="51">
        <v>3</v>
      </c>
      <c r="F26" s="69"/>
      <c r="G26" s="241" t="s">
        <v>274</v>
      </c>
      <c r="H26" s="237" t="s">
        <v>322</v>
      </c>
      <c r="I26" s="236" t="s">
        <v>278</v>
      </c>
      <c r="J26" s="208" t="str">
        <f>VLOOKUP(K26,'řádky R'!A:M,13,0)</f>
        <v>Neuhrazená ztráta minulých let</v>
      </c>
      <c r="K26" s="282">
        <v>85</v>
      </c>
      <c r="L26" s="210">
        <f>IF($E26=3,ROUND(-SUMIFS(DATA!$Y:$Y,DATA!$C:$C,INDEX!$C$12,DATA!$N:$N,$B26,DATA!$S:$S,$K26),0)+O26,IF($E26=2,SUMIFS(L:L,$E:$E,3,$G:$G,$G26,$H:$H,$H26),IF($E26=1,SUMIFS(L:L,$E:$E,2,$G:$G,$G26),SUMIF($I:$I,"-",L:L))))</f>
        <v>0</v>
      </c>
      <c r="M26" s="211">
        <f>IF($E26=3,ROUND(-SUMIFS(DATA!$Y:$Y,DATA!$C:$C,INDEX!$D$12,DATA!$N:$N,$B26,DATA!$S:$S,$K26),0)+P26,IF($E26=2,SUMIFS(M:M,$E:$E,3,$G:$G,$G26,$H:$H,$H26),IF($E26=1,SUMIFS(M:M,$E:$E,2,$G:$G,$G26),SUMIF($I:$I,"-",M:M))))</f>
        <v>0</v>
      </c>
      <c r="N26" s="418"/>
      <c r="O26" s="137"/>
      <c r="P26" s="137"/>
    </row>
    <row r="27" spans="1:16" ht="26.25" x14ac:dyDescent="0.2">
      <c r="A27" s="51">
        <v>-1</v>
      </c>
      <c r="B27" s="73" t="s">
        <v>808</v>
      </c>
      <c r="C27" s="51" t="str">
        <f t="shared" si="0"/>
        <v>A.</v>
      </c>
      <c r="D27" s="51" t="str">
        <f t="shared" si="1"/>
        <v>IV.</v>
      </c>
      <c r="E27" s="51">
        <v>3</v>
      </c>
      <c r="F27" s="69"/>
      <c r="G27" s="241" t="s">
        <v>274</v>
      </c>
      <c r="H27" s="237" t="s">
        <v>322</v>
      </c>
      <c r="I27" s="236" t="s">
        <v>279</v>
      </c>
      <c r="J27" s="208" t="str">
        <f>VLOOKUP(K27,'řádky R'!A:M,13,0)</f>
        <v>Jiný výsledek hospodaření minulých let</v>
      </c>
      <c r="K27" s="282">
        <v>86</v>
      </c>
      <c r="L27" s="210">
        <f>IF($E27=3,ROUND(-SUMIFS(DATA!$Y:$Y,DATA!$C:$C,INDEX!$C$12,DATA!$N:$N,$B27,DATA!$S:$S,$K27),0)+O27,IF($E27=2,SUMIFS(L:L,$E:$E,3,$G:$G,$G27,$H:$H,$H27),IF($E27=1,SUMIFS(L:L,$E:$E,2,$G:$G,$G27),SUMIF($I:$I,"-",L:L))))</f>
        <v>0</v>
      </c>
      <c r="M27" s="211">
        <f>IF($E27=3,ROUND(-SUMIFS(DATA!$Y:$Y,DATA!$C:$C,INDEX!$D$12,DATA!$N:$N,$B27,DATA!$S:$S,$K27),0)+P27,IF($E27=2,SUMIFS(M:M,$E:$E,3,$G:$G,$G27,$H:$H,$H27),IF($E27=1,SUMIFS(M:M,$E:$E,2,$G:$G,$G27),SUMIF($I:$I,"-",M:M))))</f>
        <v>0</v>
      </c>
      <c r="N27" s="418"/>
      <c r="O27" s="137"/>
      <c r="P27" s="137"/>
    </row>
    <row r="28" spans="1:16" ht="26.25" x14ac:dyDescent="0.2">
      <c r="A28" s="51">
        <v>-1</v>
      </c>
      <c r="B28" s="73" t="s">
        <v>808</v>
      </c>
      <c r="C28" s="51" t="str">
        <f t="shared" si="0"/>
        <v>A.</v>
      </c>
      <c r="D28" s="51" t="str">
        <f t="shared" si="1"/>
        <v>V.</v>
      </c>
      <c r="E28" s="51">
        <v>2</v>
      </c>
      <c r="F28" s="69"/>
      <c r="G28" s="390" t="s">
        <v>274</v>
      </c>
      <c r="H28" s="391" t="s">
        <v>345</v>
      </c>
      <c r="I28" s="392"/>
      <c r="J28" s="351" t="str">
        <f>VLOOKUP(K28,'řádky R'!A:M,13,0)</f>
        <v>Výsledek hospodaření běžného účetního období (+/-)</v>
      </c>
      <c r="K28" s="393">
        <v>87</v>
      </c>
      <c r="L28" s="352">
        <f>'VÝKAZ ZZ'!L67</f>
        <v>0</v>
      </c>
      <c r="M28" s="353">
        <f>'VÝKAZ ZZ'!M67</f>
        <v>0</v>
      </c>
      <c r="N28" s="418"/>
    </row>
    <row r="29" spans="1:16" ht="26.25" x14ac:dyDescent="0.2">
      <c r="A29" s="51">
        <v>-1</v>
      </c>
      <c r="B29" s="73" t="s">
        <v>808</v>
      </c>
      <c r="C29" s="51" t="str">
        <f t="shared" si="0"/>
        <v>B.</v>
      </c>
      <c r="D29" s="51" t="str">
        <f t="shared" si="1"/>
        <v>V.</v>
      </c>
      <c r="E29" s="51">
        <v>1</v>
      </c>
      <c r="F29" s="69"/>
      <c r="G29" s="338" t="s">
        <v>275</v>
      </c>
      <c r="H29" s="354"/>
      <c r="I29" s="340" t="s">
        <v>306</v>
      </c>
      <c r="J29" s="276" t="str">
        <f>VLOOKUP(K29,'řádky R'!A:M,13,0)</f>
        <v>Cizí zdroje      (ř. 89 + 94 + 105 + 117)</v>
      </c>
      <c r="K29" s="341">
        <v>88</v>
      </c>
      <c r="L29" s="342">
        <f>IF($E29=3,ROUND(-SUMIFS(DATA!$Y:$Y,DATA!$C:$C,INDEX!$C$12,DATA!$N:$N,$B29,DATA!$S:$S,$K29),0)+O29,IF($E29=2,SUMIFS(L:L,$E:$E,3,$G:$G,$G29,$H:$H,$H29),IF($E29=1,SUMIFS(L:L,$E:$E,2,$G:$G,$G29),SUMIF($I:$I,"-",L:L))))</f>
        <v>0</v>
      </c>
      <c r="M29" s="343">
        <f>IF($E29=3,ROUND(-SUMIFS(DATA!$Y:$Y,DATA!$C:$C,INDEX!$D$12,DATA!$N:$N,$B29,DATA!$S:$S,$K29),0)+P29,IF($E29=2,SUMIFS(M:M,$E:$E,3,$G:$G,$G29,$H:$H,$H29),IF($E29=1,SUMIFS(M:M,$E:$E,2,$G:$G,$G29),SUMIF($I:$I,"-",M:M))))</f>
        <v>0</v>
      </c>
      <c r="N29" s="14"/>
    </row>
    <row r="30" spans="1:16" ht="26.25" x14ac:dyDescent="0.2">
      <c r="A30" s="51">
        <v>-1</v>
      </c>
      <c r="B30" s="73" t="s">
        <v>808</v>
      </c>
      <c r="C30" s="51" t="str">
        <f t="shared" si="0"/>
        <v>B.</v>
      </c>
      <c r="D30" s="51" t="str">
        <f t="shared" si="1"/>
        <v>I.</v>
      </c>
      <c r="E30" s="51">
        <v>2</v>
      </c>
      <c r="F30" s="69"/>
      <c r="G30" s="304" t="s">
        <v>275</v>
      </c>
      <c r="H30" s="305" t="s">
        <v>276</v>
      </c>
      <c r="I30" s="305"/>
      <c r="J30" s="202" t="str">
        <f>VLOOKUP(K30,'řádky R'!A:M,13,0)</f>
        <v>Rezervy   (ř. 90 až 93)</v>
      </c>
      <c r="K30" s="307">
        <v>89</v>
      </c>
      <c r="L30" s="186">
        <f>IF($E30=3,ROUND(-SUMIFS(DATA!$Y:$Y,DATA!$C:$C,INDEX!$C$12,DATA!$N:$N,$B30,DATA!$S:$S,$K30),0)+O30,IF($E30=2,SUMIFS(L:L,$E:$E,3,$G:$G,$G30,$H:$H,$H30),IF($E30=1,SUMIFS(L:L,$E:$E,2,$G:$G,$G30),SUMIF($I:$I,"-",L:L))))</f>
        <v>0</v>
      </c>
      <c r="M30" s="204">
        <f>IF($E30=3,ROUND(-SUMIFS(DATA!$Y:$Y,DATA!$C:$C,INDEX!$D$12,DATA!$N:$N,$B30,DATA!$S:$S,$K30),0)+P30,IF($E30=2,SUMIFS(M:M,$E:$E,3,$G:$G,$G30,$H:$H,$H30),IF($E30=1,SUMIFS(M:M,$E:$E,2,$G:$G,$G30),SUMIF($I:$I,"-",M:M))))</f>
        <v>0</v>
      </c>
      <c r="N30" s="14"/>
    </row>
    <row r="31" spans="1:16" ht="26.25" x14ac:dyDescent="0.2">
      <c r="A31" s="51">
        <v>-1</v>
      </c>
      <c r="B31" s="73" t="s">
        <v>808</v>
      </c>
      <c r="C31" s="51" t="str">
        <f t="shared" si="0"/>
        <v>B.</v>
      </c>
      <c r="D31" s="51" t="str">
        <f t="shared" si="1"/>
        <v>I.</v>
      </c>
      <c r="E31" s="51">
        <v>3</v>
      </c>
      <c r="F31" s="69"/>
      <c r="G31" s="281" t="s">
        <v>275</v>
      </c>
      <c r="H31" s="236" t="s">
        <v>276</v>
      </c>
      <c r="I31" s="236" t="s">
        <v>277</v>
      </c>
      <c r="J31" s="208" t="str">
        <f>VLOOKUP(K31,'řádky R'!A:M,13,0)</f>
        <v>Rezervy podle zvláštních právních předpisů</v>
      </c>
      <c r="K31" s="282">
        <v>90</v>
      </c>
      <c r="L31" s="210">
        <f>IF($E31=3,ROUND(-SUMIFS(DATA!$Y:$Y,DATA!$C:$C,INDEX!$C$12,DATA!$N:$N,$B31,DATA!$S:$S,$K31),0)+O31,IF($E31=2,SUMIFS(L:L,$E:$E,3,$G:$G,$G31,$H:$H,$H31),IF($E31=1,SUMIFS(L:L,$E:$E,2,$G:$G,$G31),SUMIF($I:$I,"-",L:L))))</f>
        <v>0</v>
      </c>
      <c r="M31" s="211">
        <f>IF($E31=3,ROUND(-SUMIFS(DATA!$Y:$Y,DATA!$C:$C,INDEX!$D$12,DATA!$N:$N,$B31,DATA!$S:$S,$K31),0)+P31,IF($E31=2,SUMIFS(M:M,$E:$E,3,$G:$G,$G31,$H:$H,$H31),IF($E31=1,SUMIFS(M:M,$E:$E,2,$G:$G,$G31),SUMIF($I:$I,"-",M:M))))</f>
        <v>0</v>
      </c>
      <c r="N31" s="14"/>
      <c r="O31" s="137"/>
      <c r="P31" s="137"/>
    </row>
    <row r="32" spans="1:16" ht="26.25" x14ac:dyDescent="0.2">
      <c r="A32" s="51">
        <v>-1</v>
      </c>
      <c r="B32" s="73" t="s">
        <v>808</v>
      </c>
      <c r="C32" s="51" t="str">
        <f t="shared" si="0"/>
        <v>B.</v>
      </c>
      <c r="D32" s="51" t="str">
        <f t="shared" si="1"/>
        <v>I.</v>
      </c>
      <c r="E32" s="51">
        <v>3</v>
      </c>
      <c r="F32" s="69"/>
      <c r="G32" s="285" t="s">
        <v>275</v>
      </c>
      <c r="H32" s="237" t="s">
        <v>276</v>
      </c>
      <c r="I32" s="236" t="s">
        <v>278</v>
      </c>
      <c r="J32" s="208" t="str">
        <f>VLOOKUP(K32,'řádky R'!A:M,13,0)</f>
        <v>Rezerva na důchody a podobné závazky</v>
      </c>
      <c r="K32" s="282">
        <v>91</v>
      </c>
      <c r="L32" s="210">
        <f>IF($E32=3,ROUND(-SUMIFS(DATA!$Y:$Y,DATA!$C:$C,INDEX!$C$12,DATA!$N:$N,$B32,DATA!$S:$S,$K32),0)+O32,IF($E32=2,SUMIFS(L:L,$E:$E,3,$G:$G,$G32,$H:$H,$H32),IF($E32=1,SUMIFS(L:L,$E:$E,2,$G:$G,$G32),SUMIF($I:$I,"-",L:L))))</f>
        <v>0</v>
      </c>
      <c r="M32" s="211">
        <f>IF($E32=3,ROUND(-SUMIFS(DATA!$Y:$Y,DATA!$C:$C,INDEX!$D$12,DATA!$N:$N,$B32,DATA!$S:$S,$K32),0)+P32,IF($E32=2,SUMIFS(M:M,$E:$E,3,$G:$G,$G32,$H:$H,$H32),IF($E32=1,SUMIFS(M:M,$E:$E,2,$G:$G,$G32),SUMIF($I:$I,"-",M:M))))</f>
        <v>0</v>
      </c>
      <c r="N32" s="14"/>
      <c r="O32" s="137"/>
      <c r="P32" s="137"/>
    </row>
    <row r="33" spans="1:16" ht="26.25" x14ac:dyDescent="0.2">
      <c r="A33" s="51">
        <v>-1</v>
      </c>
      <c r="B33" s="73" t="s">
        <v>808</v>
      </c>
      <c r="C33" s="51" t="str">
        <f t="shared" si="0"/>
        <v>B.</v>
      </c>
      <c r="D33" s="51" t="str">
        <f t="shared" si="1"/>
        <v>I.</v>
      </c>
      <c r="E33" s="51">
        <v>3</v>
      </c>
      <c r="F33" s="69"/>
      <c r="G33" s="241" t="s">
        <v>275</v>
      </c>
      <c r="H33" s="237" t="s">
        <v>276</v>
      </c>
      <c r="I33" s="236" t="s">
        <v>279</v>
      </c>
      <c r="J33" s="208" t="str">
        <f>VLOOKUP(K33,'řádky R'!A:M,13,0)</f>
        <v>Rezerva na daň z příjmů</v>
      </c>
      <c r="K33" s="282">
        <v>92</v>
      </c>
      <c r="L33" s="210">
        <f>IF($E33=3,ROUND(-SUMIFS(DATA!$Y:$Y,DATA!$C:$C,INDEX!$C$12,DATA!$N:$N,$B33,DATA!$S:$S,$K33),0)+O33,IF($E33=2,SUMIFS(L:L,$E:$E,3,$G:$G,$G33,$H:$H,$H33),IF($E33=1,SUMIFS(L:L,$E:$E,2,$G:$G,$G33),SUMIF($I:$I,"-",L:L))))</f>
        <v>0</v>
      </c>
      <c r="M33" s="211">
        <f>IF($E33=3,ROUND(-SUMIFS(DATA!$Y:$Y,DATA!$C:$C,INDEX!$D$12,DATA!$N:$N,$B33,DATA!$S:$S,$K33),0)+P33,IF($E33=2,SUMIFS(M:M,$E:$E,3,$G:$G,$G33,$H:$H,$H33),IF($E33=1,SUMIFS(M:M,$E:$E,2,$G:$G,$G33),SUMIF($I:$I,"-",M:M))))</f>
        <v>0</v>
      </c>
      <c r="N33" s="14"/>
      <c r="O33" s="137"/>
      <c r="P33" s="137"/>
    </row>
    <row r="34" spans="1:16" ht="26.25" x14ac:dyDescent="0.2">
      <c r="A34" s="51">
        <v>-1</v>
      </c>
      <c r="B34" s="73" t="s">
        <v>808</v>
      </c>
      <c r="C34" s="51" t="str">
        <f t="shared" si="0"/>
        <v>B.</v>
      </c>
      <c r="D34" s="51" t="str">
        <f t="shared" si="1"/>
        <v>I.</v>
      </c>
      <c r="E34" s="51">
        <v>3</v>
      </c>
      <c r="F34" s="69"/>
      <c r="G34" s="241" t="s">
        <v>275</v>
      </c>
      <c r="H34" s="237" t="s">
        <v>276</v>
      </c>
      <c r="I34" s="236" t="s">
        <v>280</v>
      </c>
      <c r="J34" s="208" t="str">
        <f>VLOOKUP(K34,'řádky R'!A:M,13,0)</f>
        <v>Ostatní rezervy</v>
      </c>
      <c r="K34" s="282">
        <v>93</v>
      </c>
      <c r="L34" s="210">
        <f>IF($E34=3,ROUND(-SUMIFS(DATA!$Y:$Y,DATA!$C:$C,INDEX!$C$12,DATA!$N:$N,$B34,DATA!$S:$S,$K34),0)+O34,IF($E34=2,SUMIFS(L:L,$E:$E,3,$G:$G,$G34,$H:$H,$H34),IF($E34=1,SUMIFS(L:L,$E:$E,2,$G:$G,$G34),SUMIF($I:$I,"-",L:L))))</f>
        <v>0</v>
      </c>
      <c r="M34" s="211">
        <f>IF($E34=3,ROUND(-SUMIFS(DATA!$Y:$Y,DATA!$C:$C,INDEX!$D$12,DATA!$N:$N,$B34,DATA!$S:$S,$K34),0)+P34,IF($E34=2,SUMIFS(M:M,$E:$E,3,$G:$G,$G34,$H:$H,$H34),IF($E34=1,SUMIFS(M:M,$E:$E,2,$G:$G,$G34),SUMIF($I:$I,"-",M:M))))</f>
        <v>0</v>
      </c>
      <c r="N34" s="14"/>
      <c r="O34" s="137"/>
      <c r="P34" s="137"/>
    </row>
    <row r="35" spans="1:16" ht="26.25" x14ac:dyDescent="0.2">
      <c r="A35" s="51">
        <v>-1</v>
      </c>
      <c r="B35" s="73" t="s">
        <v>808</v>
      </c>
      <c r="C35" s="51" t="str">
        <f t="shared" si="0"/>
        <v>B.</v>
      </c>
      <c r="D35" s="51" t="str">
        <f t="shared" si="1"/>
        <v>II.</v>
      </c>
      <c r="E35" s="51">
        <v>2</v>
      </c>
      <c r="F35" s="69"/>
      <c r="G35" s="304" t="s">
        <v>275</v>
      </c>
      <c r="H35" s="305" t="s">
        <v>286</v>
      </c>
      <c r="I35" s="305"/>
      <c r="J35" s="202" t="str">
        <f>VLOOKUP(K35,'řádky R'!A:M,13,0)</f>
        <v>Dlouhodobé závazky  (ř. 95 až 104)</v>
      </c>
      <c r="K35" s="307">
        <v>94</v>
      </c>
      <c r="L35" s="186">
        <f>IF($E35=3,ROUND(-SUMIFS(DATA!$Y:$Y,DATA!$C:$C,INDEX!$C$12,DATA!$N:$N,$B35,DATA!$S:$S,$K35),0)+O35,IF($E35=2,SUMIFS(L:L,$E:$E,3,$G:$G,$G35,$H:$H,$H35),IF($E35=1,SUMIFS(L:L,$E:$E,2,$G:$G,$G35),SUMIF($I:$I,"-",L:L))))</f>
        <v>0</v>
      </c>
      <c r="M35" s="204">
        <f>IF($E35=3,ROUND(-SUMIFS(DATA!$Y:$Y,DATA!$C:$C,INDEX!$D$12,DATA!$N:$N,$B35,DATA!$S:$S,$K35),0)+P35,IF($E35=2,SUMIFS(M:M,$E:$E,3,$G:$G,$G35,$H:$H,$H35),IF($E35=1,SUMIFS(M:M,$E:$E,2,$G:$G,$G35),SUMIF($I:$I,"-",M:M))))</f>
        <v>0</v>
      </c>
      <c r="N35" s="14"/>
    </row>
    <row r="36" spans="1:16" ht="26.25" x14ac:dyDescent="0.2">
      <c r="A36" s="51">
        <v>-1</v>
      </c>
      <c r="B36" s="73" t="s">
        <v>808</v>
      </c>
      <c r="C36" s="51" t="str">
        <f t="shared" si="0"/>
        <v>B.</v>
      </c>
      <c r="D36" s="51" t="str">
        <f t="shared" si="1"/>
        <v>II.</v>
      </c>
      <c r="E36" s="51">
        <v>3</v>
      </c>
      <c r="F36" s="69"/>
      <c r="G36" s="234" t="s">
        <v>275</v>
      </c>
      <c r="H36" s="235" t="s">
        <v>286</v>
      </c>
      <c r="I36" s="236" t="s">
        <v>277</v>
      </c>
      <c r="J36" s="208" t="str">
        <f>VLOOKUP(K36,'řádky R'!A:M,13,0)</f>
        <v>Závazky z obchodních vztahů</v>
      </c>
      <c r="K36" s="282">
        <v>95</v>
      </c>
      <c r="L36" s="210">
        <f>IF($E36=3,ROUND(-SUMIFS(DATA!$Y:$Y,DATA!$C:$C,INDEX!$C$12,DATA!$N:$N,$B36,DATA!$S:$S,$K36),0)+O36,IF($E36=2,SUMIFS(L:L,$E:$E,3,$G:$G,$G36,$H:$H,$H36),IF($E36=1,SUMIFS(L:L,$E:$E,2,$G:$G,$G36),SUMIF($I:$I,"-",L:L))))</f>
        <v>0</v>
      </c>
      <c r="M36" s="211">
        <f>IF($E36=3,ROUND(-SUMIFS(DATA!$Y:$Y,DATA!$C:$C,INDEX!$D$12,DATA!$N:$N,$B36,DATA!$S:$S,$K36),0)+P36,IF($E36=2,SUMIFS(M:M,$E:$E,3,$G:$G,$G36,$H:$H,$H36),IF($E36=1,SUMIFS(M:M,$E:$E,2,$G:$G,$G36),SUMIF($I:$I,"-",M:M))))</f>
        <v>0</v>
      </c>
      <c r="N36" s="14"/>
      <c r="O36" s="137"/>
      <c r="P36" s="137"/>
    </row>
    <row r="37" spans="1:16" ht="26.25" x14ac:dyDescent="0.2">
      <c r="A37" s="51">
        <v>-1</v>
      </c>
      <c r="B37" s="73" t="s">
        <v>808</v>
      </c>
      <c r="C37" s="51" t="str">
        <f t="shared" si="0"/>
        <v>B.</v>
      </c>
      <c r="D37" s="51" t="str">
        <f t="shared" si="1"/>
        <v>II.</v>
      </c>
      <c r="E37" s="51">
        <v>3</v>
      </c>
      <c r="F37" s="69"/>
      <c r="G37" s="241" t="s">
        <v>275</v>
      </c>
      <c r="H37" s="237" t="s">
        <v>286</v>
      </c>
      <c r="I37" s="236" t="s">
        <v>278</v>
      </c>
      <c r="J37" s="208" t="str">
        <f>VLOOKUP(K37,'řádky R'!A:M,13,0)</f>
        <v>Závazky - ovládaná nebo ovládající osoba</v>
      </c>
      <c r="K37" s="282">
        <v>96</v>
      </c>
      <c r="L37" s="210">
        <f>IF($E37=3,ROUND(-SUMIFS(DATA!$Y:$Y,DATA!$C:$C,INDEX!$C$12,DATA!$N:$N,$B37,DATA!$S:$S,$K37),0)+O37,IF($E37=2,SUMIFS(L:L,$E:$E,3,$G:$G,$G37,$H:$H,$H37),IF($E37=1,SUMIFS(L:L,$E:$E,2,$G:$G,$G37),SUMIF($I:$I,"-",L:L))))</f>
        <v>0</v>
      </c>
      <c r="M37" s="211">
        <f>IF($E37=3,ROUND(-SUMIFS(DATA!$Y:$Y,DATA!$C:$C,INDEX!$D$12,DATA!$N:$N,$B37,DATA!$S:$S,$K37),0)+P37,IF($E37=2,SUMIFS(M:M,$E:$E,3,$G:$G,$G37,$H:$H,$H37),IF($E37=1,SUMIFS(M:M,$E:$E,2,$G:$G,$G37),SUMIF($I:$I,"-",M:M))))</f>
        <v>0</v>
      </c>
      <c r="N37" s="14"/>
      <c r="O37" s="137"/>
      <c r="P37" s="137"/>
    </row>
    <row r="38" spans="1:16" ht="26.25" x14ac:dyDescent="0.2">
      <c r="A38" s="51">
        <v>-1</v>
      </c>
      <c r="B38" s="73" t="s">
        <v>808</v>
      </c>
      <c r="C38" s="51" t="str">
        <f t="shared" si="0"/>
        <v>B.</v>
      </c>
      <c r="D38" s="51" t="str">
        <f t="shared" si="1"/>
        <v>II.</v>
      </c>
      <c r="E38" s="51">
        <v>3</v>
      </c>
      <c r="F38" s="69"/>
      <c r="G38" s="241" t="s">
        <v>275</v>
      </c>
      <c r="H38" s="237" t="s">
        <v>286</v>
      </c>
      <c r="I38" s="236" t="s">
        <v>279</v>
      </c>
      <c r="J38" s="208" t="str">
        <f>VLOOKUP(K38,'řádky R'!A:M,13,0)</f>
        <v>Závazky - podstatný vliv</v>
      </c>
      <c r="K38" s="282">
        <v>97</v>
      </c>
      <c r="L38" s="210">
        <f>IF($E38=3,ROUND(-SUMIFS(DATA!$Y:$Y,DATA!$C:$C,INDEX!$C$12,DATA!$N:$N,$B38,DATA!$S:$S,$K38),0)+O38,IF($E38=2,SUMIFS(L:L,$E:$E,3,$G:$G,$G38,$H:$H,$H38),IF($E38=1,SUMIFS(L:L,$E:$E,2,$G:$G,$G38),SUMIF($I:$I,"-",L:L))))</f>
        <v>0</v>
      </c>
      <c r="M38" s="211">
        <f>IF($E38=3,ROUND(-SUMIFS(DATA!$Y:$Y,DATA!$C:$C,INDEX!$D$12,DATA!$N:$N,$B38,DATA!$S:$S,$K38),0)+P38,IF($E38=2,SUMIFS(M:M,$E:$E,3,$G:$G,$G38,$H:$H,$H38),IF($E38=1,SUMIFS(M:M,$E:$E,2,$G:$G,$G38),SUMIF($I:$I,"-",M:M))))</f>
        <v>0</v>
      </c>
      <c r="N38" s="14"/>
      <c r="O38" s="137"/>
      <c r="P38" s="137"/>
    </row>
    <row r="39" spans="1:16" ht="26.25" x14ac:dyDescent="0.2">
      <c r="A39" s="51">
        <v>-1</v>
      </c>
      <c r="B39" s="73" t="s">
        <v>808</v>
      </c>
      <c r="C39" s="51" t="str">
        <f t="shared" si="0"/>
        <v>B.</v>
      </c>
      <c r="D39" s="51" t="str">
        <f t="shared" si="1"/>
        <v>II.</v>
      </c>
      <c r="E39" s="51">
        <v>3</v>
      </c>
      <c r="F39" s="69"/>
      <c r="G39" s="241" t="s">
        <v>275</v>
      </c>
      <c r="H39" s="237" t="s">
        <v>286</v>
      </c>
      <c r="I39" s="236" t="s">
        <v>280</v>
      </c>
      <c r="J39" s="208" t="str">
        <f>VLOOKUP(K39,'řádky R'!A:M,13,0)</f>
        <v>Závazky ke společníkům, členům družstva  a k účastníkům sdružení</v>
      </c>
      <c r="K39" s="282">
        <v>98</v>
      </c>
      <c r="L39" s="210">
        <f>IF($E39=3,ROUND(-SUMIFS(DATA!$Y:$Y,DATA!$C:$C,INDEX!$C$12,DATA!$N:$N,$B39,DATA!$S:$S,$K39),0)+O39,IF($E39=2,SUMIFS(L:L,$E:$E,3,$G:$G,$G39,$H:$H,$H39),IF($E39=1,SUMIFS(L:L,$E:$E,2,$G:$G,$G39),SUMIF($I:$I,"-",L:L))))</f>
        <v>0</v>
      </c>
      <c r="M39" s="211">
        <f>IF($E39=3,ROUND(-SUMIFS(DATA!$Y:$Y,DATA!$C:$C,INDEX!$D$12,DATA!$N:$N,$B39,DATA!$S:$S,$K39),0)+P39,IF($E39=2,SUMIFS(M:M,$E:$E,3,$G:$G,$G39,$H:$H,$H39),IF($E39=1,SUMIFS(M:M,$E:$E,2,$G:$G,$G39),SUMIF($I:$I,"-",M:M))))</f>
        <v>0</v>
      </c>
      <c r="N39" s="14"/>
      <c r="O39" s="137"/>
      <c r="P39" s="137"/>
    </row>
    <row r="40" spans="1:16" ht="26.25" x14ac:dyDescent="0.2">
      <c r="A40" s="51">
        <v>-1</v>
      </c>
      <c r="B40" s="73" t="s">
        <v>808</v>
      </c>
      <c r="C40" s="51" t="str">
        <f t="shared" si="0"/>
        <v>B.</v>
      </c>
      <c r="D40" s="51" t="str">
        <f t="shared" si="1"/>
        <v>II.</v>
      </c>
      <c r="E40" s="51">
        <v>3</v>
      </c>
      <c r="F40" s="69"/>
      <c r="G40" s="241" t="s">
        <v>275</v>
      </c>
      <c r="H40" s="237" t="s">
        <v>286</v>
      </c>
      <c r="I40" s="236" t="s">
        <v>281</v>
      </c>
      <c r="J40" s="208" t="str">
        <f>VLOOKUP(K40,'řádky R'!A:M,13,0)</f>
        <v>Dlouhodobé přijaté zálohy</v>
      </c>
      <c r="K40" s="282">
        <v>99</v>
      </c>
      <c r="L40" s="210">
        <f>IF($E40=3,ROUND(-SUMIFS(DATA!$Y:$Y,DATA!$C:$C,INDEX!$C$12,DATA!$N:$N,$B40,DATA!$S:$S,$K40),0)+O40,IF($E40=2,SUMIFS(L:L,$E:$E,3,$G:$G,$G40,$H:$H,$H40),IF($E40=1,SUMIFS(L:L,$E:$E,2,$G:$G,$G40),SUMIF($I:$I,"-",L:L))))</f>
        <v>0</v>
      </c>
      <c r="M40" s="211">
        <f>IF($E40=3,ROUND(-SUMIFS(DATA!$Y:$Y,DATA!$C:$C,INDEX!$D$12,DATA!$N:$N,$B40,DATA!$S:$S,$K40),0)+P40,IF($E40=2,SUMIFS(M:M,$E:$E,3,$G:$G,$G40,$H:$H,$H40),IF($E40=1,SUMIFS(M:M,$E:$E,2,$G:$G,$G40),SUMIF($I:$I,"-",M:M))))</f>
        <v>0</v>
      </c>
      <c r="N40" s="14"/>
      <c r="O40" s="137"/>
      <c r="P40" s="137"/>
    </row>
    <row r="41" spans="1:16" ht="26.25" x14ac:dyDescent="0.2">
      <c r="A41" s="51">
        <v>-1</v>
      </c>
      <c r="B41" s="73" t="s">
        <v>808</v>
      </c>
      <c r="C41" s="51" t="str">
        <f t="shared" si="0"/>
        <v>B.</v>
      </c>
      <c r="D41" s="51" t="str">
        <f t="shared" si="1"/>
        <v>II.</v>
      </c>
      <c r="E41" s="51">
        <v>3</v>
      </c>
      <c r="F41" s="69"/>
      <c r="G41" s="285" t="s">
        <v>275</v>
      </c>
      <c r="H41" s="308" t="s">
        <v>286</v>
      </c>
      <c r="I41" s="236" t="s">
        <v>282</v>
      </c>
      <c r="J41" s="208" t="str">
        <f>VLOOKUP(K41,'řádky R'!A:M,13,0)</f>
        <v>Vydané dluhopisy</v>
      </c>
      <c r="K41" s="282">
        <v>100</v>
      </c>
      <c r="L41" s="210">
        <f>IF($E41=3,ROUND(-SUMIFS(DATA!$Y:$Y,DATA!$C:$C,INDEX!$C$12,DATA!$N:$N,$B41,DATA!$S:$S,$K41),0)+O41,IF($E41=2,SUMIFS(L:L,$E:$E,3,$G:$G,$G41,$H:$H,$H41),IF($E41=1,SUMIFS(L:L,$E:$E,2,$G:$G,$G41),SUMIF($I:$I,"-",L:L))))</f>
        <v>0</v>
      </c>
      <c r="M41" s="211">
        <f>IF($E41=3,ROUND(-SUMIFS(DATA!$Y:$Y,DATA!$C:$C,INDEX!$D$12,DATA!$N:$N,$B41,DATA!$S:$S,$K41),0)+P41,IF($E41=2,SUMIFS(M:M,$E:$E,3,$G:$G,$G41,$H:$H,$H41),IF($E41=1,SUMIFS(M:M,$E:$E,2,$G:$G,$G41),SUMIF($I:$I,"-",M:M))))</f>
        <v>0</v>
      </c>
      <c r="N41" s="14"/>
      <c r="O41" s="137"/>
      <c r="P41" s="137"/>
    </row>
    <row r="42" spans="1:16" ht="26.25" x14ac:dyDescent="0.2">
      <c r="A42" s="51">
        <v>-1</v>
      </c>
      <c r="B42" s="73" t="s">
        <v>808</v>
      </c>
      <c r="C42" s="51" t="str">
        <f t="shared" si="0"/>
        <v>B.</v>
      </c>
      <c r="D42" s="51" t="str">
        <f t="shared" si="1"/>
        <v>II.</v>
      </c>
      <c r="E42" s="51">
        <v>3</v>
      </c>
      <c r="F42" s="69"/>
      <c r="G42" s="309" t="s">
        <v>275</v>
      </c>
      <c r="H42" s="308" t="s">
        <v>286</v>
      </c>
      <c r="I42" s="236" t="s">
        <v>283</v>
      </c>
      <c r="J42" s="208" t="str">
        <f>VLOOKUP(K42,'řádky R'!A:M,13,0)</f>
        <v>Dlouhodobé směnky k úhradě</v>
      </c>
      <c r="K42" s="282">
        <v>101</v>
      </c>
      <c r="L42" s="210">
        <f>IF($E42=3,ROUND(-SUMIFS(DATA!$Y:$Y,DATA!$C:$C,INDEX!$C$12,DATA!$N:$N,$B42,DATA!$S:$S,$K42),0)+O42,IF($E42=2,SUMIFS(L:L,$E:$E,3,$G:$G,$G42,$H:$H,$H42),IF($E42=1,SUMIFS(L:L,$E:$E,2,$G:$G,$G42),SUMIF($I:$I,"-",L:L))))</f>
        <v>0</v>
      </c>
      <c r="M42" s="211">
        <f>IF($E42=3,ROUND(-SUMIFS(DATA!$Y:$Y,DATA!$C:$C,INDEX!$D$12,DATA!$N:$N,$B42,DATA!$S:$S,$K42),0)+P42,IF($E42=2,SUMIFS(M:M,$E:$E,3,$G:$G,$G42,$H:$H,$H42),IF($E42=1,SUMIFS(M:M,$E:$E,2,$G:$G,$G42),SUMIF($I:$I,"-",M:M))))</f>
        <v>0</v>
      </c>
      <c r="N42" s="14"/>
      <c r="O42" s="137"/>
      <c r="P42" s="137"/>
    </row>
    <row r="43" spans="1:16" ht="26.25" x14ac:dyDescent="0.2">
      <c r="A43" s="51">
        <v>-1</v>
      </c>
      <c r="B43" s="73" t="s">
        <v>808</v>
      </c>
      <c r="C43" s="51" t="str">
        <f t="shared" si="0"/>
        <v>B.</v>
      </c>
      <c r="D43" s="51" t="str">
        <f t="shared" si="1"/>
        <v>II.</v>
      </c>
      <c r="E43" s="51">
        <v>3</v>
      </c>
      <c r="F43" s="69"/>
      <c r="G43" s="309" t="s">
        <v>275</v>
      </c>
      <c r="H43" s="308" t="s">
        <v>286</v>
      </c>
      <c r="I43" s="236">
        <v>8</v>
      </c>
      <c r="J43" s="208" t="str">
        <f>VLOOKUP(K43,'řádky R'!A:M,13,0)</f>
        <v>Dohadné účty pasívní</v>
      </c>
      <c r="K43" s="282">
        <v>102</v>
      </c>
      <c r="L43" s="210">
        <f>IF($E43=3,ROUND(-SUMIFS(DATA!$Y:$Y,DATA!$C:$C,INDEX!$C$12,DATA!$N:$N,$B43,DATA!$S:$S,$K43),0)+O43,IF($E43=2,SUMIFS(L:L,$E:$E,3,$G:$G,$G43,$H:$H,$H43),IF($E43=1,SUMIFS(L:L,$E:$E,2,$G:$G,$G43),SUMIF($I:$I,"-",L:L))))</f>
        <v>0</v>
      </c>
      <c r="M43" s="211">
        <f>IF($E43=3,ROUND(-SUMIFS(DATA!$Y:$Y,DATA!$C:$C,INDEX!$D$12,DATA!$N:$N,$B43,DATA!$S:$S,$K43),0)+P43,IF($E43=2,SUMIFS(M:M,$E:$E,3,$G:$G,$G43,$H:$H,$H43),IF($E43=1,SUMIFS(M:M,$E:$E,2,$G:$G,$G43),SUMIF($I:$I,"-",M:M))))</f>
        <v>0</v>
      </c>
      <c r="N43" s="14"/>
      <c r="O43" s="137"/>
      <c r="P43" s="137"/>
    </row>
    <row r="44" spans="1:16" ht="26.25" x14ac:dyDescent="0.2">
      <c r="A44" s="51">
        <v>-1</v>
      </c>
      <c r="B44" s="73" t="s">
        <v>808</v>
      </c>
      <c r="C44" s="51" t="str">
        <f t="shared" si="0"/>
        <v>B.</v>
      </c>
      <c r="D44" s="51" t="str">
        <f t="shared" si="1"/>
        <v>II.</v>
      </c>
      <c r="E44" s="51">
        <v>3</v>
      </c>
      <c r="F44" s="69"/>
      <c r="G44" s="309" t="s">
        <v>275</v>
      </c>
      <c r="H44" s="308" t="s">
        <v>286</v>
      </c>
      <c r="I44" s="236" t="s">
        <v>287</v>
      </c>
      <c r="J44" s="208" t="str">
        <f>VLOOKUP(K44,'řádky R'!A:M,13,0)</f>
        <v>Jiné závazky</v>
      </c>
      <c r="K44" s="282">
        <v>103</v>
      </c>
      <c r="L44" s="210">
        <f>IF($E44=3,ROUND(-SUMIFS(DATA!$Y:$Y,DATA!$C:$C,INDEX!$C$12,DATA!$N:$N,$B44,DATA!$S:$S,$K44),0)+O44,IF($E44=2,SUMIFS(L:L,$E:$E,3,$G:$G,$G44,$H:$H,$H44),IF($E44=1,SUMIFS(L:L,$E:$E,2,$G:$G,$G44),SUMIF($I:$I,"-",L:L))))</f>
        <v>0</v>
      </c>
      <c r="M44" s="211">
        <f>IF($E44=3,ROUND(-SUMIFS(DATA!$Y:$Y,DATA!$C:$C,INDEX!$D$12,DATA!$N:$N,$B44,DATA!$S:$S,$K44),0)+P44,IF($E44=2,SUMIFS(M:M,$E:$E,3,$G:$G,$G44,$H:$H,$H44),IF($E44=1,SUMIFS(M:M,$E:$E,2,$G:$G,$G44),SUMIF($I:$I,"-",M:M))))</f>
        <v>0</v>
      </c>
      <c r="N44" s="14"/>
      <c r="O44" s="137"/>
      <c r="P44" s="137"/>
    </row>
    <row r="45" spans="1:16" ht="26.25" x14ac:dyDescent="0.2">
      <c r="A45" s="51">
        <v>-1</v>
      </c>
      <c r="B45" s="73" t="s">
        <v>808</v>
      </c>
      <c r="C45" s="51" t="str">
        <f t="shared" si="0"/>
        <v>B.</v>
      </c>
      <c r="D45" s="51" t="str">
        <f t="shared" si="1"/>
        <v>II.</v>
      </c>
      <c r="E45" s="51">
        <v>3</v>
      </c>
      <c r="F45" s="69"/>
      <c r="G45" s="310" t="s">
        <v>275</v>
      </c>
      <c r="H45" s="311" t="s">
        <v>286</v>
      </c>
      <c r="I45" s="292" t="s">
        <v>372</v>
      </c>
      <c r="J45" s="288" t="str">
        <f>VLOOKUP(K45,'řádky R'!A:M,13,0)</f>
        <v>Odložený daňový závazek</v>
      </c>
      <c r="K45" s="289">
        <v>104</v>
      </c>
      <c r="L45" s="355">
        <f>IF($E45=3,ROUND(-SUMIFS(DATA!$Y:$Y,DATA!$C:$C,INDEX!$C$12,DATA!$N:$N,$B45,DATA!$S:$S,$K45),0)+O45,IF($E45=2,SUMIFS(L:L,$E:$E,3,$G:$G,$G45,$H:$H,$H45),IF($E45=1,SUMIFS(L:L,$E:$E,2,$G:$G,$G45),SUMIF($I:$I,"-",L:L))))</f>
        <v>0</v>
      </c>
      <c r="M45" s="356">
        <f>IF($E45=3,ROUND(-SUMIFS(DATA!$Y:$Y,DATA!$C:$C,INDEX!$D$12,DATA!$N:$N,$B45,DATA!$S:$S,$K45),0)+P45,IF($E45=2,SUMIFS(M:M,$E:$E,3,$G:$G,$G45,$H:$H,$H45),IF($E45=1,SUMIFS(M:M,$E:$E,2,$G:$G,$G45),SUMIF($I:$I,"-",M:M))))</f>
        <v>0</v>
      </c>
      <c r="N45" s="14"/>
      <c r="O45" s="137"/>
      <c r="P45" s="137"/>
    </row>
    <row r="46" spans="1:16" ht="26.25" x14ac:dyDescent="0.2">
      <c r="A46" s="51">
        <v>-1</v>
      </c>
      <c r="B46" s="73" t="s">
        <v>808</v>
      </c>
      <c r="C46" s="51" t="str">
        <f t="shared" si="0"/>
        <v>B.</v>
      </c>
      <c r="D46" s="51" t="str">
        <f t="shared" si="1"/>
        <v>III.</v>
      </c>
      <c r="E46" s="51">
        <v>2</v>
      </c>
      <c r="F46" s="69"/>
      <c r="G46" s="304" t="s">
        <v>275</v>
      </c>
      <c r="H46" s="305" t="s">
        <v>291</v>
      </c>
      <c r="I46" s="306"/>
      <c r="J46" s="202" t="str">
        <f>VLOOKUP(K46,'řádky R'!A:M,13,0)</f>
        <v>Krátkodobé závazky  (ř. 106 až 116)</v>
      </c>
      <c r="K46" s="307">
        <v>105</v>
      </c>
      <c r="L46" s="186">
        <f>IF($E46=3,ROUND(-SUMIFS(DATA!$Y:$Y,DATA!$C:$C,INDEX!$C$12,DATA!$N:$N,$B46,DATA!$S:$S,$K46),0)+O46,IF($E46=2,SUMIFS(L:L,$E:$E,3,$G:$G,$G46,$H:$H,$H46),IF($E46=1,SUMIFS(L:L,$E:$E,2,$G:$G,$G46),SUMIF($I:$I,"-",L:L))))</f>
        <v>0</v>
      </c>
      <c r="M46" s="204">
        <f>IF($E46=3,ROUND(-SUMIFS(DATA!$Y:$Y,DATA!$C:$C,INDEX!$D$12,DATA!$N:$N,$B46,DATA!$S:$S,$K46),0)+P46,IF($E46=2,SUMIFS(M:M,$E:$E,3,$G:$G,$G46,$H:$H,$H46),IF($E46=1,SUMIFS(M:M,$E:$E,2,$G:$G,$G46),SUMIF($I:$I,"-",M:M))))</f>
        <v>0</v>
      </c>
      <c r="N46" s="14"/>
    </row>
    <row r="47" spans="1:16" ht="26.25" x14ac:dyDescent="0.2">
      <c r="A47" s="51">
        <v>-1</v>
      </c>
      <c r="B47" s="73" t="s">
        <v>808</v>
      </c>
      <c r="C47" s="51" t="str">
        <f t="shared" si="0"/>
        <v>B.</v>
      </c>
      <c r="D47" s="51" t="str">
        <f t="shared" si="1"/>
        <v>III.</v>
      </c>
      <c r="E47" s="51">
        <v>3</v>
      </c>
      <c r="F47" s="69"/>
      <c r="G47" s="281" t="s">
        <v>275</v>
      </c>
      <c r="H47" s="236" t="s">
        <v>291</v>
      </c>
      <c r="I47" s="236" t="s">
        <v>277</v>
      </c>
      <c r="J47" s="208" t="str">
        <f>VLOOKUP(K47,'řádky R'!A:M,13,0)</f>
        <v>Závazky z obchodních vztahů</v>
      </c>
      <c r="K47" s="282">
        <v>106</v>
      </c>
      <c r="L47" s="210">
        <f>IF($E47=3,ROUND(-SUMIFS(DATA!$Y:$Y,DATA!$C:$C,INDEX!$C$12,DATA!$N:$N,$B47,DATA!$S:$S,$K47),0)+O47,IF($E47=2,SUMIFS(L:L,$E:$E,3,$G:$G,$G47,$H:$H,$H47),IF($E47=1,SUMIFS(L:L,$E:$E,2,$G:$G,$G47),SUMIF($I:$I,"-",L:L))))</f>
        <v>0</v>
      </c>
      <c r="M47" s="211">
        <f>IF($E47=3,ROUND(-SUMIFS(DATA!$Y:$Y,DATA!$C:$C,INDEX!$D$12,DATA!$N:$N,$B47,DATA!$S:$S,$K47),0)+P47,IF($E47=2,SUMIFS(M:M,$E:$E,3,$G:$G,$G47,$H:$H,$H47),IF($E47=1,SUMIFS(M:M,$E:$E,2,$G:$G,$G47),SUMIF($I:$I,"-",M:M))))</f>
        <v>0</v>
      </c>
      <c r="N47" s="14"/>
      <c r="O47" s="137"/>
      <c r="P47" s="137"/>
    </row>
    <row r="48" spans="1:16" ht="26.25" x14ac:dyDescent="0.2">
      <c r="A48" s="51">
        <v>-1</v>
      </c>
      <c r="B48" s="73" t="s">
        <v>808</v>
      </c>
      <c r="C48" s="51" t="str">
        <f t="shared" si="0"/>
        <v>B.</v>
      </c>
      <c r="D48" s="51" t="str">
        <f t="shared" si="1"/>
        <v>III.</v>
      </c>
      <c r="E48" s="51">
        <v>3</v>
      </c>
      <c r="F48" s="69"/>
      <c r="G48" s="285" t="s">
        <v>275</v>
      </c>
      <c r="H48" s="308" t="s">
        <v>291</v>
      </c>
      <c r="I48" s="236" t="s">
        <v>278</v>
      </c>
      <c r="J48" s="208" t="str">
        <f>VLOOKUP(K48,'řádky R'!A:M,13,0)</f>
        <v>Závazky - ovládaná nebo ovládající osoba</v>
      </c>
      <c r="K48" s="282">
        <v>107</v>
      </c>
      <c r="L48" s="210">
        <f>IF($E48=3,ROUND(-SUMIFS(DATA!$Y:$Y,DATA!$C:$C,INDEX!$C$12,DATA!$N:$N,$B48,DATA!$S:$S,$K48),0)+O48,IF($E48=2,SUMIFS(L:L,$E:$E,3,$G:$G,$G48,$H:$H,$H48),IF($E48=1,SUMIFS(L:L,$E:$E,2,$G:$G,$G48),SUMIF($I:$I,"-",L:L))))</f>
        <v>0</v>
      </c>
      <c r="M48" s="211">
        <f>IF($E48=3,ROUND(-SUMIFS(DATA!$Y:$Y,DATA!$C:$C,INDEX!$D$12,DATA!$N:$N,$B48,DATA!$S:$S,$K48),0)+P48,IF($E48=2,SUMIFS(M:M,$E:$E,3,$G:$G,$G48,$H:$H,$H48),IF($E48=1,SUMIFS(M:M,$E:$E,2,$G:$G,$G48),SUMIF($I:$I,"-",M:M))))</f>
        <v>0</v>
      </c>
      <c r="N48" s="14"/>
      <c r="O48" s="137"/>
      <c r="P48" s="137"/>
    </row>
    <row r="49" spans="1:16" ht="26.25" x14ac:dyDescent="0.2">
      <c r="A49" s="51">
        <v>-1</v>
      </c>
      <c r="B49" s="73" t="s">
        <v>808</v>
      </c>
      <c r="C49" s="51" t="str">
        <f t="shared" si="0"/>
        <v>B.</v>
      </c>
      <c r="D49" s="51" t="str">
        <f t="shared" si="1"/>
        <v>III.</v>
      </c>
      <c r="E49" s="51">
        <v>3</v>
      </c>
      <c r="F49" s="69"/>
      <c r="G49" s="309" t="s">
        <v>275</v>
      </c>
      <c r="H49" s="308" t="s">
        <v>291</v>
      </c>
      <c r="I49" s="236" t="s">
        <v>279</v>
      </c>
      <c r="J49" s="208" t="str">
        <f>VLOOKUP(K49,'řádky R'!A:M,13,0)</f>
        <v>Závazky - podstatný vliv</v>
      </c>
      <c r="K49" s="282">
        <v>108</v>
      </c>
      <c r="L49" s="210">
        <f>IF($E49=3,ROUND(-SUMIFS(DATA!$Y:$Y,DATA!$C:$C,INDEX!$C$12,DATA!$N:$N,$B49,DATA!$S:$S,$K49),0)+O49,IF($E49=2,SUMIFS(L:L,$E:$E,3,$G:$G,$G49,$H:$H,$H49),IF($E49=1,SUMIFS(L:L,$E:$E,2,$G:$G,$G49),SUMIF($I:$I,"-",L:L))))</f>
        <v>0</v>
      </c>
      <c r="M49" s="211">
        <f>IF($E49=3,ROUND(-SUMIFS(DATA!$Y:$Y,DATA!$C:$C,INDEX!$D$12,DATA!$N:$N,$B49,DATA!$S:$S,$K49),0)+P49,IF($E49=2,SUMIFS(M:M,$E:$E,3,$G:$G,$G49,$H:$H,$H49),IF($E49=1,SUMIFS(M:M,$E:$E,2,$G:$G,$G49),SUMIF($I:$I,"-",M:M))))</f>
        <v>0</v>
      </c>
      <c r="N49" s="14"/>
      <c r="O49" s="137"/>
      <c r="P49" s="137"/>
    </row>
    <row r="50" spans="1:16" ht="26.25" x14ac:dyDescent="0.2">
      <c r="A50" s="51">
        <v>-1</v>
      </c>
      <c r="B50" s="73" t="s">
        <v>808</v>
      </c>
      <c r="C50" s="51" t="str">
        <f t="shared" si="0"/>
        <v>B.</v>
      </c>
      <c r="D50" s="51" t="str">
        <f t="shared" si="1"/>
        <v>III.</v>
      </c>
      <c r="E50" s="51">
        <v>3</v>
      </c>
      <c r="F50" s="69"/>
      <c r="G50" s="309" t="s">
        <v>275</v>
      </c>
      <c r="H50" s="308" t="s">
        <v>291</v>
      </c>
      <c r="I50" s="236" t="s">
        <v>280</v>
      </c>
      <c r="J50" s="208" t="str">
        <f>VLOOKUP(K50,'řádky R'!A:M,13,0)</f>
        <v>Závazky ke společníkům, členům družstva  a k účastníkům sdružení</v>
      </c>
      <c r="K50" s="282">
        <v>109</v>
      </c>
      <c r="L50" s="210">
        <f>IF($E50=3,ROUND(-SUMIFS(DATA!$Y:$Y,DATA!$C:$C,INDEX!$C$12,DATA!$N:$N,$B50,DATA!$S:$S,$K50),0)+O50,IF($E50=2,SUMIFS(L:L,$E:$E,3,$G:$G,$G50,$H:$H,$H50),IF($E50=1,SUMIFS(L:L,$E:$E,2,$G:$G,$G50),SUMIF($I:$I,"-",L:L))))</f>
        <v>0</v>
      </c>
      <c r="M50" s="211">
        <f>IF($E50=3,ROUND(-SUMIFS(DATA!$Y:$Y,DATA!$C:$C,INDEX!$D$12,DATA!$N:$N,$B50,DATA!$S:$S,$K50),0)+P50,IF($E50=2,SUMIFS(M:M,$E:$E,3,$G:$G,$G50,$H:$H,$H50),IF($E50=1,SUMIFS(M:M,$E:$E,2,$G:$G,$G50),SUMIF($I:$I,"-",M:M))))</f>
        <v>0</v>
      </c>
      <c r="N50" s="14"/>
      <c r="O50" s="137"/>
      <c r="P50" s="137"/>
    </row>
    <row r="51" spans="1:16" ht="26.25" x14ac:dyDescent="0.2">
      <c r="A51" s="51">
        <v>-1</v>
      </c>
      <c r="B51" s="73" t="s">
        <v>808</v>
      </c>
      <c r="C51" s="51" t="str">
        <f t="shared" si="0"/>
        <v>B.</v>
      </c>
      <c r="D51" s="51" t="str">
        <f t="shared" si="1"/>
        <v>III.</v>
      </c>
      <c r="E51" s="51">
        <v>3</v>
      </c>
      <c r="F51" s="69"/>
      <c r="G51" s="309" t="s">
        <v>275</v>
      </c>
      <c r="H51" s="308" t="s">
        <v>291</v>
      </c>
      <c r="I51" s="236" t="s">
        <v>281</v>
      </c>
      <c r="J51" s="208" t="str">
        <f>VLOOKUP(K51,'řádky R'!A:M,13,0)</f>
        <v>Závazky k zaměstnancům</v>
      </c>
      <c r="K51" s="282">
        <v>110</v>
      </c>
      <c r="L51" s="210">
        <f>IF($E51=3,ROUND(-SUMIFS(DATA!$Y:$Y,DATA!$C:$C,INDEX!$C$12,DATA!$N:$N,$B51,DATA!$S:$S,$K51),0)+O51,IF($E51=2,SUMIFS(L:L,$E:$E,3,$G:$G,$G51,$H:$H,$H51),IF($E51=1,SUMIFS(L:L,$E:$E,2,$G:$G,$G51),SUMIF($I:$I,"-",L:L))))</f>
        <v>0</v>
      </c>
      <c r="M51" s="211">
        <f>IF($E51=3,ROUND(-SUMIFS(DATA!$Y:$Y,DATA!$C:$C,INDEX!$D$12,DATA!$N:$N,$B51,DATA!$S:$S,$K51),0)+P51,IF($E51=2,SUMIFS(M:M,$E:$E,3,$G:$G,$G51,$H:$H,$H51),IF($E51=1,SUMIFS(M:M,$E:$E,2,$G:$G,$G51),SUMIF($I:$I,"-",M:M))))</f>
        <v>0</v>
      </c>
      <c r="N51" s="14"/>
      <c r="O51" s="137"/>
      <c r="P51" s="137"/>
    </row>
    <row r="52" spans="1:16" ht="26.25" x14ac:dyDescent="0.2">
      <c r="A52" s="51">
        <v>-1</v>
      </c>
      <c r="B52" s="73" t="s">
        <v>808</v>
      </c>
      <c r="C52" s="51" t="str">
        <f t="shared" si="0"/>
        <v>B.</v>
      </c>
      <c r="D52" s="51" t="str">
        <f t="shared" si="1"/>
        <v>III.</v>
      </c>
      <c r="E52" s="51">
        <v>3</v>
      </c>
      <c r="F52" s="69"/>
      <c r="G52" s="309" t="s">
        <v>275</v>
      </c>
      <c r="H52" s="308" t="s">
        <v>291</v>
      </c>
      <c r="I52" s="236" t="s">
        <v>282</v>
      </c>
      <c r="J52" s="208" t="str">
        <f>VLOOKUP(K52,'řádky R'!A:M,13,0)</f>
        <v>Závazky ze sociálního zabezpečení a zdravotního pojištění</v>
      </c>
      <c r="K52" s="282">
        <v>111</v>
      </c>
      <c r="L52" s="210">
        <f>IF($E52=3,ROUND(-SUMIFS(DATA!$Y:$Y,DATA!$C:$C,INDEX!$C$12,DATA!$N:$N,$B52,DATA!$S:$S,$K52),0)+O52,IF($E52=2,SUMIFS(L:L,$E:$E,3,$G:$G,$G52,$H:$H,$H52),IF($E52=1,SUMIFS(L:L,$E:$E,2,$G:$G,$G52),SUMIF($I:$I,"-",L:L))))</f>
        <v>0</v>
      </c>
      <c r="M52" s="211">
        <f>IF($E52=3,ROUND(-SUMIFS(DATA!$Y:$Y,DATA!$C:$C,INDEX!$D$12,DATA!$N:$N,$B52,DATA!$S:$S,$K52),0)+P52,IF($E52=2,SUMIFS(M:M,$E:$E,3,$G:$G,$G52,$H:$H,$H52),IF($E52=1,SUMIFS(M:M,$E:$E,2,$G:$G,$G52),SUMIF($I:$I,"-",M:M))))</f>
        <v>0</v>
      </c>
      <c r="N52" s="14"/>
      <c r="O52" s="137"/>
      <c r="P52" s="137"/>
    </row>
    <row r="53" spans="1:16" ht="26.25" x14ac:dyDescent="0.2">
      <c r="A53" s="51">
        <v>-1</v>
      </c>
      <c r="B53" s="73" t="s">
        <v>808</v>
      </c>
      <c r="C53" s="51" t="str">
        <f t="shared" si="0"/>
        <v>B.</v>
      </c>
      <c r="D53" s="51" t="str">
        <f t="shared" si="1"/>
        <v>III.</v>
      </c>
      <c r="E53" s="51">
        <v>3</v>
      </c>
      <c r="F53" s="69"/>
      <c r="G53" s="309" t="s">
        <v>275</v>
      </c>
      <c r="H53" s="308" t="s">
        <v>291</v>
      </c>
      <c r="I53" s="236" t="s">
        <v>283</v>
      </c>
      <c r="J53" s="208" t="str">
        <f>VLOOKUP(K53,'řádky R'!A:M,13,0)</f>
        <v>Stát - daňové závazky a dotace</v>
      </c>
      <c r="K53" s="282">
        <v>112</v>
      </c>
      <c r="L53" s="210">
        <f>IF($E53=3,ROUND(-SUMIFS(DATA!$Y:$Y,DATA!$C:$C,INDEX!$C$12,DATA!$N:$N,$B53,DATA!$S:$S,$K53),0)+O53,IF($E53=2,SUMIFS(L:L,$E:$E,3,$G:$G,$G53,$H:$H,$H53),IF($E53=1,SUMIFS(L:L,$E:$E,2,$G:$G,$G53),SUMIF($I:$I,"-",L:L))))</f>
        <v>0</v>
      </c>
      <c r="M53" s="211">
        <f>IF($E53=3,ROUND(-SUMIFS(DATA!$Y:$Y,DATA!$C:$C,INDEX!$D$12,DATA!$N:$N,$B53,DATA!$S:$S,$K53),0)+P53,IF($E53=2,SUMIFS(M:M,$E:$E,3,$G:$G,$G53,$H:$H,$H53),IF($E53=1,SUMIFS(M:M,$E:$E,2,$G:$G,$G53),SUMIF($I:$I,"-",M:M))))</f>
        <v>0</v>
      </c>
      <c r="N53" s="14"/>
      <c r="O53" s="137"/>
      <c r="P53" s="137"/>
    </row>
    <row r="54" spans="1:16" ht="26.25" x14ac:dyDescent="0.2">
      <c r="A54" s="51">
        <v>-1</v>
      </c>
      <c r="B54" s="73" t="s">
        <v>808</v>
      </c>
      <c r="C54" s="51" t="str">
        <f t="shared" si="0"/>
        <v>B.</v>
      </c>
      <c r="D54" s="51" t="str">
        <f t="shared" si="1"/>
        <v>III.</v>
      </c>
      <c r="E54" s="51">
        <v>3</v>
      </c>
      <c r="F54" s="69"/>
      <c r="G54" s="309" t="s">
        <v>275</v>
      </c>
      <c r="H54" s="308" t="s">
        <v>291</v>
      </c>
      <c r="I54" s="236" t="s">
        <v>284</v>
      </c>
      <c r="J54" s="208" t="str">
        <f>VLOOKUP(K54,'řádky R'!A:M,13,0)</f>
        <v>Kratkodobé přijaté zálohy</v>
      </c>
      <c r="K54" s="282">
        <v>113</v>
      </c>
      <c r="L54" s="210">
        <f>IF($E54=3,ROUND(-SUMIFS(DATA!$Y:$Y,DATA!$C:$C,INDEX!$C$12,DATA!$N:$N,$B54,DATA!$S:$S,$K54),0)+O54,IF($E54=2,SUMIFS(L:L,$E:$E,3,$G:$G,$G54,$H:$H,$H54),IF($E54=1,SUMIFS(L:L,$E:$E,2,$G:$G,$G54),SUMIF($I:$I,"-",L:L))))</f>
        <v>0</v>
      </c>
      <c r="M54" s="211">
        <f>IF($E54=3,ROUND(-SUMIFS(DATA!$Y:$Y,DATA!$C:$C,INDEX!$D$12,DATA!$N:$N,$B54,DATA!$S:$S,$K54),0)+P54,IF($E54=2,SUMIFS(M:M,$E:$E,3,$G:$G,$G54,$H:$H,$H54),IF($E54=1,SUMIFS(M:M,$E:$E,2,$G:$G,$G54),SUMIF($I:$I,"-",M:M))))</f>
        <v>0</v>
      </c>
      <c r="N54" s="14"/>
      <c r="O54" s="137"/>
      <c r="P54" s="137"/>
    </row>
    <row r="55" spans="1:16" ht="26.25" x14ac:dyDescent="0.2">
      <c r="A55" s="51">
        <v>-1</v>
      </c>
      <c r="B55" s="73" t="s">
        <v>808</v>
      </c>
      <c r="C55" s="51" t="str">
        <f t="shared" si="0"/>
        <v>B.</v>
      </c>
      <c r="D55" s="51" t="str">
        <f t="shared" si="1"/>
        <v>III.</v>
      </c>
      <c r="E55" s="51">
        <v>3</v>
      </c>
      <c r="F55" s="69"/>
      <c r="G55" s="309" t="s">
        <v>275</v>
      </c>
      <c r="H55" s="308" t="s">
        <v>291</v>
      </c>
      <c r="I55" s="236" t="s">
        <v>287</v>
      </c>
      <c r="J55" s="208" t="str">
        <f>VLOOKUP(K55,'řádky R'!A:M,13,0)</f>
        <v>Vydané dluhopisy</v>
      </c>
      <c r="K55" s="282">
        <v>114</v>
      </c>
      <c r="L55" s="210">
        <f>IF($E55=3,ROUND(-SUMIFS(DATA!$Y:$Y,DATA!$C:$C,INDEX!$C$12,DATA!$N:$N,$B55,DATA!$S:$S,$K55),0)+O55,IF($E55=2,SUMIFS(L:L,$E:$E,3,$G:$G,$G55,$H:$H,$H55),IF($E55=1,SUMIFS(L:L,$E:$E,2,$G:$G,$G55),SUMIF($I:$I,"-",L:L))))</f>
        <v>0</v>
      </c>
      <c r="M55" s="211">
        <f>IF($E55=3,ROUND(-SUMIFS(DATA!$Y:$Y,DATA!$C:$C,INDEX!$D$12,DATA!$N:$N,$B55,DATA!$S:$S,$K55),0)+P55,IF($E55=2,SUMIFS(M:M,$E:$E,3,$G:$G,$G55,$H:$H,$H55),IF($E55=1,SUMIFS(M:M,$E:$E,2,$G:$G,$G55),SUMIF($I:$I,"-",M:M))))</f>
        <v>0</v>
      </c>
      <c r="N55" s="14"/>
      <c r="O55" s="137"/>
      <c r="P55" s="137"/>
    </row>
    <row r="56" spans="1:16" ht="26.25" x14ac:dyDescent="0.2">
      <c r="A56" s="51">
        <v>-1</v>
      </c>
      <c r="B56" s="73" t="s">
        <v>808</v>
      </c>
      <c r="C56" s="51" t="str">
        <f t="shared" si="0"/>
        <v>B.</v>
      </c>
      <c r="D56" s="51" t="str">
        <f t="shared" si="1"/>
        <v>III.</v>
      </c>
      <c r="E56" s="51">
        <v>3</v>
      </c>
      <c r="F56" s="69"/>
      <c r="G56" s="309" t="s">
        <v>275</v>
      </c>
      <c r="H56" s="308" t="s">
        <v>291</v>
      </c>
      <c r="I56" s="236" t="s">
        <v>372</v>
      </c>
      <c r="J56" s="208" t="str">
        <f>VLOOKUP(K56,'řádky R'!A:M,13,0)</f>
        <v xml:space="preserve">Dohadné účty pasivní </v>
      </c>
      <c r="K56" s="282">
        <v>115</v>
      </c>
      <c r="L56" s="210">
        <f>IF($E56=3,ROUND(-SUMIFS(DATA!$Y:$Y,DATA!$C:$C,INDEX!$C$12,DATA!$N:$N,$B56,DATA!$S:$S,$K56),0)+O56,IF($E56=2,SUMIFS(L:L,$E:$E,3,$G:$G,$G56,$H:$H,$H56),IF($E56=1,SUMIFS(L:L,$E:$E,2,$G:$G,$G56),SUMIF($I:$I,"-",L:L))))</f>
        <v>0</v>
      </c>
      <c r="M56" s="211">
        <f>IF($E56=3,ROUND(-SUMIFS(DATA!$Y:$Y,DATA!$C:$C,INDEX!$D$12,DATA!$N:$N,$B56,DATA!$S:$S,$K56),0)+P56,IF($E56=2,SUMIFS(M:M,$E:$E,3,$G:$G,$G56,$H:$H,$H56),IF($E56=1,SUMIFS(M:M,$E:$E,2,$G:$G,$G56),SUMIF($I:$I,"-",M:M))))</f>
        <v>0</v>
      </c>
      <c r="N56" s="14"/>
      <c r="O56" s="137"/>
      <c r="P56" s="137"/>
    </row>
    <row r="57" spans="1:16" ht="26.25" x14ac:dyDescent="0.2">
      <c r="A57" s="51">
        <v>-1</v>
      </c>
      <c r="B57" s="73" t="s">
        <v>808</v>
      </c>
      <c r="C57" s="51" t="str">
        <f t="shared" si="0"/>
        <v>B.</v>
      </c>
      <c r="D57" s="51" t="str">
        <f t="shared" si="1"/>
        <v>III.</v>
      </c>
      <c r="E57" s="51">
        <v>3</v>
      </c>
      <c r="F57" s="69"/>
      <c r="G57" s="309" t="s">
        <v>275</v>
      </c>
      <c r="H57" s="308" t="s">
        <v>291</v>
      </c>
      <c r="I57" s="236" t="s">
        <v>373</v>
      </c>
      <c r="J57" s="208" t="str">
        <f>VLOOKUP(K57,'řádky R'!A:M,13,0)</f>
        <v>Jiné závazky</v>
      </c>
      <c r="K57" s="282">
        <v>116</v>
      </c>
      <c r="L57" s="210">
        <f>IF($E57=3,ROUND(-SUMIFS(DATA!$Y:$Y,DATA!$C:$C,INDEX!$C$12,DATA!$N:$N,$B57,DATA!$S:$S,$K57),0)+O57,IF($E57=2,SUMIFS(L:L,$E:$E,3,$G:$G,$G57,$H:$H,$H57),IF($E57=1,SUMIFS(L:L,$E:$E,2,$G:$G,$G57),SUMIF($I:$I,"-",L:L))))</f>
        <v>0</v>
      </c>
      <c r="M57" s="211">
        <f>IF($E57=3,ROUND(-SUMIFS(DATA!$Y:$Y,DATA!$C:$C,INDEX!$D$12,DATA!$N:$N,$B57,DATA!$S:$S,$K57),0)+P57,IF($E57=2,SUMIFS(M:M,$E:$E,3,$G:$G,$G57,$H:$H,$H57),IF($E57=1,SUMIFS(M:M,$E:$E,2,$G:$G,$G57),SUMIF($I:$I,"-",M:M))))</f>
        <v>0</v>
      </c>
      <c r="N57" s="14"/>
      <c r="O57" s="137"/>
      <c r="P57" s="137"/>
    </row>
    <row r="58" spans="1:16" ht="26.25" x14ac:dyDescent="0.2">
      <c r="A58" s="51">
        <v>-1</v>
      </c>
      <c r="B58" s="73" t="s">
        <v>808</v>
      </c>
      <c r="C58" s="51" t="str">
        <f t="shared" si="0"/>
        <v>B.</v>
      </c>
      <c r="D58" s="51" t="str">
        <f t="shared" si="1"/>
        <v>IV.</v>
      </c>
      <c r="E58" s="51">
        <v>2</v>
      </c>
      <c r="F58" s="69"/>
      <c r="G58" s="304" t="s">
        <v>275</v>
      </c>
      <c r="H58" s="305" t="s">
        <v>322</v>
      </c>
      <c r="I58" s="306"/>
      <c r="J58" s="202" t="str">
        <f>VLOOKUP(K58,'řádky R'!A:M,13,0)</f>
        <v>Bankovní úvěry a výpomoci  (ř. 118 až 120)</v>
      </c>
      <c r="K58" s="307">
        <v>117</v>
      </c>
      <c r="L58" s="186">
        <f>IF($E58=3,ROUND(-SUMIFS(DATA!$Y:$Y,DATA!$C:$C,INDEX!$C$12,DATA!$N:$N,$B58,DATA!$S:$S,$K58),0)+O58,IF($E58=2,SUMIFS(L:L,$E:$E,3,$G:$G,$G58,$H:$H,$H58),IF($E58=1,SUMIFS(L:L,$E:$E,2,$G:$G,$G58),SUMIF($I:$I,"-",L:L))))</f>
        <v>0</v>
      </c>
      <c r="M58" s="204">
        <f>IF($E58=3,ROUND(-SUMIFS(DATA!$Y:$Y,DATA!$C:$C,INDEX!$D$12,DATA!$N:$N,$B58,DATA!$S:$S,$K58),0)+P58,IF($E58=2,SUMIFS(M:M,$E:$E,3,$G:$G,$G58,$H:$H,$H58),IF($E58=1,SUMIFS(M:M,$E:$E,2,$G:$G,$G58),SUMIF($I:$I,"-",M:M))))</f>
        <v>0</v>
      </c>
      <c r="N58" s="14"/>
    </row>
    <row r="59" spans="1:16" ht="26.25" x14ac:dyDescent="0.2">
      <c r="A59" s="51">
        <v>-1</v>
      </c>
      <c r="B59" s="73" t="s">
        <v>808</v>
      </c>
      <c r="C59" s="51" t="str">
        <f t="shared" si="0"/>
        <v>B.</v>
      </c>
      <c r="D59" s="51" t="str">
        <f t="shared" si="1"/>
        <v>IV.</v>
      </c>
      <c r="E59" s="51">
        <v>3</v>
      </c>
      <c r="F59" s="69"/>
      <c r="G59" s="281" t="s">
        <v>275</v>
      </c>
      <c r="H59" s="357" t="s">
        <v>322</v>
      </c>
      <c r="I59" s="253" t="s">
        <v>277</v>
      </c>
      <c r="J59" s="208" t="str">
        <f>VLOOKUP(K59,'řádky R'!A:M,13,0)</f>
        <v>Bankovní úvěry dlouhodobé</v>
      </c>
      <c r="K59" s="282">
        <v>118</v>
      </c>
      <c r="L59" s="210">
        <f>IF($E59=3,ROUND(-SUMIFS(DATA!$Y:$Y,DATA!$C:$C,INDEX!$C$12,DATA!$N:$N,$B59,DATA!$S:$S,$K59),0)+O59,IF($E59=2,SUMIFS(L:L,$E:$E,3,$G:$G,$G59,$H:$H,$H59),IF($E59=1,SUMIFS(L:L,$E:$E,2,$G:$G,$G59),SUMIF($I:$I,"-",L:L))))</f>
        <v>0</v>
      </c>
      <c r="M59" s="211">
        <f>IF($E59=3,ROUND(-SUMIFS(DATA!$Y:$Y,DATA!$C:$C,INDEX!$D$12,DATA!$N:$N,$B59,DATA!$S:$S,$K59),0)+P59,IF($E59=2,SUMIFS(M:M,$E:$E,3,$G:$G,$G59,$H:$H,$H59),IF($E59=1,SUMIFS(M:M,$E:$E,2,$G:$G,$G59),SUMIF($I:$I,"-",M:M))))</f>
        <v>0</v>
      </c>
      <c r="N59" s="14"/>
      <c r="O59" s="137"/>
      <c r="P59" s="137"/>
    </row>
    <row r="60" spans="1:16" ht="26.25" x14ac:dyDescent="0.2">
      <c r="A60" s="51">
        <v>-1</v>
      </c>
      <c r="B60" s="73" t="s">
        <v>808</v>
      </c>
      <c r="C60" s="51" t="str">
        <f t="shared" si="0"/>
        <v>B.</v>
      </c>
      <c r="D60" s="51" t="str">
        <f t="shared" si="1"/>
        <v>IV.</v>
      </c>
      <c r="E60" s="51">
        <v>3</v>
      </c>
      <c r="F60" s="69"/>
      <c r="G60" s="309" t="s">
        <v>275</v>
      </c>
      <c r="H60" s="308" t="s">
        <v>322</v>
      </c>
      <c r="I60" s="253" t="s">
        <v>278</v>
      </c>
      <c r="J60" s="208" t="str">
        <f>VLOOKUP(K60,'řádky R'!A:M,13,0)</f>
        <v xml:space="preserve">Krátkodobé bankovní úvěry </v>
      </c>
      <c r="K60" s="282">
        <v>119</v>
      </c>
      <c r="L60" s="210">
        <f>IF($E60=3,ROUND(-SUMIFS(DATA!$Y:$Y,DATA!$C:$C,INDEX!$C$12,DATA!$N:$N,$B60,DATA!$S:$S,$K60),0)+O60,IF($E60=2,SUMIFS(L:L,$E:$E,3,$G:$G,$G60,$H:$H,$H60),IF($E60=1,SUMIFS(L:L,$E:$E,2,$G:$G,$G60),SUMIF($I:$I,"-",L:L))))</f>
        <v>0</v>
      </c>
      <c r="M60" s="211">
        <f>IF($E60=3,ROUND(-SUMIFS(DATA!$Y:$Y,DATA!$C:$C,INDEX!$D$12,DATA!$N:$N,$B60,DATA!$S:$S,$K60),0)+P60,IF($E60=2,SUMIFS(M:M,$E:$E,3,$G:$G,$G60,$H:$H,$H60),IF($E60=1,SUMIFS(M:M,$E:$E,2,$G:$G,$G60),SUMIF($I:$I,"-",M:M))))</f>
        <v>0</v>
      </c>
      <c r="N60" s="418" t="s">
        <v>920</v>
      </c>
      <c r="O60" s="137"/>
      <c r="P60" s="137"/>
    </row>
    <row r="61" spans="1:16" ht="26.25" x14ac:dyDescent="0.2">
      <c r="A61" s="51">
        <v>-1</v>
      </c>
      <c r="B61" s="73" t="s">
        <v>808</v>
      </c>
      <c r="C61" s="51" t="str">
        <f t="shared" si="0"/>
        <v>B.</v>
      </c>
      <c r="D61" s="51" t="str">
        <f t="shared" si="1"/>
        <v>IV.</v>
      </c>
      <c r="E61" s="51">
        <v>3</v>
      </c>
      <c r="F61" s="69"/>
      <c r="G61" s="309" t="s">
        <v>275</v>
      </c>
      <c r="H61" s="308" t="s">
        <v>322</v>
      </c>
      <c r="I61" s="236" t="s">
        <v>279</v>
      </c>
      <c r="J61" s="208" t="str">
        <f>VLOOKUP(K61,'řádky R'!A:M,13,0)</f>
        <v>Krátkodobé finanční výpomoci</v>
      </c>
      <c r="K61" s="282">
        <v>120</v>
      </c>
      <c r="L61" s="210">
        <f>IF($E61=3,ROUND(-SUMIFS(DATA!$Y:$Y,DATA!$C:$C,INDEX!$C$12,DATA!$N:$N,$B61,DATA!$S:$S,$K61),0)+O61,IF($E61=2,SUMIFS(L:L,$E:$E,3,$G:$G,$G61,$H:$H,$H61),IF($E61=1,SUMIFS(L:L,$E:$E,2,$G:$G,$G61),SUMIF($I:$I,"-",L:L))))</f>
        <v>0</v>
      </c>
      <c r="M61" s="211">
        <f>IF($E61=3,ROUND(-SUMIFS(DATA!$Y:$Y,DATA!$C:$C,INDEX!$D$12,DATA!$N:$N,$B61,DATA!$S:$S,$K61),0)+P61,IF($E61=2,SUMIFS(M:M,$E:$E,3,$G:$G,$G61,$H:$H,$H61),IF($E61=1,SUMIFS(M:M,$E:$E,2,$G:$G,$G61),SUMIF($I:$I,"-",M:M))))</f>
        <v>0</v>
      </c>
      <c r="N61" s="418"/>
      <c r="O61" s="137"/>
      <c r="P61" s="137"/>
    </row>
    <row r="62" spans="1:16" ht="26.25" x14ac:dyDescent="0.2">
      <c r="A62" s="51">
        <v>-1</v>
      </c>
      <c r="B62" s="73" t="s">
        <v>808</v>
      </c>
      <c r="C62" s="51" t="str">
        <f t="shared" si="0"/>
        <v>C.</v>
      </c>
      <c r="D62" s="51" t="str">
        <f t="shared" si="1"/>
        <v>I.</v>
      </c>
      <c r="E62" s="51">
        <v>2</v>
      </c>
      <c r="F62" s="69"/>
      <c r="G62" s="338" t="s">
        <v>309</v>
      </c>
      <c r="H62" s="354" t="s">
        <v>276</v>
      </c>
      <c r="I62" s="340" t="s">
        <v>306</v>
      </c>
      <c r="J62" s="276" t="str">
        <f>VLOOKUP(K62,'řádky R'!A:M,13,0)</f>
        <v>Časové rozlišení  (ř. 122 + 123)</v>
      </c>
      <c r="K62" s="341">
        <v>121</v>
      </c>
      <c r="L62" s="342">
        <f>IF($E62=3,ROUND(-SUMIFS(DATA!$Y:$Y,DATA!$C:$C,INDEX!$C$12,DATA!$N:$N,$B62,DATA!$S:$S,$K62),0)+O62,IF($E62=2,SUMIFS(L:L,$E:$E,3,$G:$G,$G62,$H:$H,$H62),IF($E62=1,SUMIFS(L:L,$E:$E,2,$G:$G,$G62),SUMIF($I:$I,"-",L:L))))</f>
        <v>0</v>
      </c>
      <c r="M62" s="343">
        <f>IF($E62=3,ROUND(-SUMIFS(DATA!$Y:$Y,DATA!$C:$C,INDEX!$D$12,DATA!$N:$N,$B62,DATA!$S:$S,$K62),0)+P62,IF($E62=2,SUMIFS(M:M,$E:$E,3,$G:$G,$G62,$H:$H,$H62),IF($E62=1,SUMIFS(M:M,$E:$E,2,$G:$G,$G62),SUMIF($I:$I,"-",M:M))))</f>
        <v>0</v>
      </c>
      <c r="N62" s="418"/>
    </row>
    <row r="63" spans="1:16" ht="26.25" x14ac:dyDescent="0.2">
      <c r="A63" s="51">
        <v>-1</v>
      </c>
      <c r="B63" s="73" t="s">
        <v>808</v>
      </c>
      <c r="C63" s="51" t="str">
        <f t="shared" si="0"/>
        <v>C.</v>
      </c>
      <c r="D63" s="51" t="str">
        <f t="shared" si="1"/>
        <v>I.</v>
      </c>
      <c r="E63" s="51">
        <v>3</v>
      </c>
      <c r="F63" s="69"/>
      <c r="G63" s="358" t="s">
        <v>309</v>
      </c>
      <c r="H63" s="357" t="s">
        <v>276</v>
      </c>
      <c r="I63" s="236" t="s">
        <v>277</v>
      </c>
      <c r="J63" s="208" t="str">
        <f>VLOOKUP(K63,'řádky R'!A:M,13,0)</f>
        <v>Výdaje příštích období</v>
      </c>
      <c r="K63" s="282">
        <v>122</v>
      </c>
      <c r="L63" s="192">
        <f>IF($E63=3,ROUND(-SUMIFS(DATA!$Y:$Y,DATA!$C:$C,INDEX!$C$12,DATA!$N:$N,$B63,DATA!$S:$S,$K63),0)+O63,IF($E63=2,SUMIFS(L:L,$E:$E,3,$G:$G,$G63,$H:$H,$H63),IF($E63=1,SUMIFS(L:L,$E:$E,2,$G:$G,$G63),SUMIF($I:$I,"-",L:L))))</f>
        <v>0</v>
      </c>
      <c r="M63" s="193">
        <f>IF($E63=3,ROUND(-SUMIFS(DATA!$Y:$Y,DATA!$C:$C,INDEX!$D$12,DATA!$N:$N,$B63,DATA!$S:$S,$K63),0)+P63,IF($E63=2,SUMIFS(M:M,$E:$E,3,$G:$G,$G63,$H:$H,$H63),IF($E63=1,SUMIFS(M:M,$E:$E,2,$G:$G,$G63),SUMIF($I:$I,"-",M:M))))</f>
        <v>0</v>
      </c>
      <c r="N63" s="418"/>
      <c r="O63" s="137"/>
      <c r="P63" s="137"/>
    </row>
    <row r="64" spans="1:16" ht="27" thickBot="1" x14ac:dyDescent="0.25">
      <c r="A64" s="51">
        <v>-1</v>
      </c>
      <c r="B64" s="73" t="s">
        <v>808</v>
      </c>
      <c r="C64" s="51" t="str">
        <f t="shared" si="0"/>
        <v>C.</v>
      </c>
      <c r="D64" s="51" t="str">
        <f t="shared" si="1"/>
        <v>I.</v>
      </c>
      <c r="E64" s="51">
        <v>3</v>
      </c>
      <c r="F64" s="69"/>
      <c r="G64" s="320" t="s">
        <v>309</v>
      </c>
      <c r="H64" s="321" t="s">
        <v>276</v>
      </c>
      <c r="I64" s="295" t="s">
        <v>278</v>
      </c>
      <c r="J64" s="296" t="str">
        <f>VLOOKUP(K64,'řádky R'!A:M,13,0)</f>
        <v xml:space="preserve">Výnosy příštích období </v>
      </c>
      <c r="K64" s="297">
        <v>123</v>
      </c>
      <c r="L64" s="376">
        <f>IF($E64=3,ROUND(-SUMIFS(DATA!$Y:$Y,DATA!$C:$C,INDEX!$C$12,DATA!$N:$N,$B64,DATA!$S:$S,$K64),0)+O64,IF($E64=2,SUMIFS(L:L,$E:$E,3,$G:$G,$G64,$H:$H,$H64),IF($E64=1,SUMIFS(L:L,$E:$E,2,$G:$G,$G64),SUMIF($I:$I,"-",L:L))))</f>
        <v>0</v>
      </c>
      <c r="M64" s="377">
        <f>IF($E64=3,ROUND(-SUMIFS(DATA!$Y:$Y,DATA!$C:$C,INDEX!$D$12,DATA!$N:$N,$B64,DATA!$S:$S,$K64),0)+P64,IF($E64=2,SUMIFS(M:M,$E:$E,3,$G:$G,$G64,$H:$H,$H64),IF($E64=1,SUMIFS(M:M,$E:$E,2,$G:$G,$G64),SUMIF($I:$I,"-",M:M))))</f>
        <v>0</v>
      </c>
      <c r="N64" s="418"/>
      <c r="O64" s="137"/>
      <c r="P64" s="137"/>
    </row>
    <row r="65" spans="13:13" x14ac:dyDescent="0.2">
      <c r="M65" s="378"/>
    </row>
  </sheetData>
  <sheetProtection password="DD47" sheet="1" objects="1" scenarios="1"/>
  <mergeCells count="6">
    <mergeCell ref="N60:N64"/>
    <mergeCell ref="G5:I5"/>
    <mergeCell ref="G7:I7"/>
    <mergeCell ref="L5:L6"/>
    <mergeCell ref="M5:M6"/>
    <mergeCell ref="N24:N28"/>
  </mergeCells>
  <conditionalFormatting sqref="O7:P7">
    <cfRule type="cellIs" dxfId="66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8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28" max="16383" man="1"/>
  </rowBreaks>
  <legacyDrawingHF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E341"/>
  <sheetViews>
    <sheetView showGridLines="0" workbookViewId="0">
      <pane ySplit="7" topLeftCell="A8" activePane="bottomLeft" state="frozen"/>
      <selection activeCell="G5" sqref="G5:I5"/>
      <selection pane="bottomLeft" activeCell="B7" sqref="B7"/>
    </sheetView>
  </sheetViews>
  <sheetFormatPr defaultRowHeight="12.75" x14ac:dyDescent="0.2"/>
  <cols>
    <col min="1" max="1" width="1.140625" style="93" customWidth="1"/>
    <col min="2" max="2" width="17.85546875" style="93" customWidth="1"/>
    <col min="3" max="3" width="8.42578125" style="93" customWidth="1"/>
    <col min="4" max="4" width="9.85546875" style="93" customWidth="1"/>
    <col min="5" max="5" width="12.5703125" style="93" bestFit="1" customWidth="1"/>
    <col min="6" max="16384" width="9.140625" style="93"/>
  </cols>
  <sheetData>
    <row r="6" spans="2:5" x14ac:dyDescent="0.2">
      <c r="B6" s="436" t="s">
        <v>877</v>
      </c>
      <c r="C6" s="437"/>
      <c r="D6"/>
      <c r="E6"/>
    </row>
    <row r="7" spans="2:5" x14ac:dyDescent="0.2">
      <c r="B7" s="437"/>
      <c r="C7" s="440" t="s">
        <v>911</v>
      </c>
      <c r="D7"/>
      <c r="E7"/>
    </row>
    <row r="8" spans="2:5" x14ac:dyDescent="0.2">
      <c r="B8" s="438" t="s">
        <v>306</v>
      </c>
      <c r="C8" s="439">
        <v>0</v>
      </c>
      <c r="D8"/>
      <c r="E8"/>
    </row>
    <row r="9" spans="2:5" x14ac:dyDescent="0.2">
      <c r="B9" s="441" t="s">
        <v>306</v>
      </c>
      <c r="C9" s="439">
        <v>0</v>
      </c>
      <c r="D9"/>
      <c r="E9"/>
    </row>
    <row r="10" spans="2:5" x14ac:dyDescent="0.2">
      <c r="B10" s="438"/>
      <c r="C10" s="439"/>
      <c r="D10"/>
      <c r="E10"/>
    </row>
    <row r="11" spans="2:5" x14ac:dyDescent="0.2">
      <c r="B11" s="438" t="s">
        <v>923</v>
      </c>
      <c r="C11" s="439">
        <v>0</v>
      </c>
      <c r="D11"/>
      <c r="E11"/>
    </row>
    <row r="12" spans="2:5" x14ac:dyDescent="0.2">
      <c r="B12"/>
      <c r="C12"/>
      <c r="D12"/>
      <c r="E12"/>
    </row>
    <row r="13" spans="2:5" x14ac:dyDescent="0.2">
      <c r="B13"/>
      <c r="C13"/>
      <c r="D13"/>
      <c r="E13"/>
    </row>
    <row r="14" spans="2:5" x14ac:dyDescent="0.2">
      <c r="B14"/>
      <c r="C14"/>
      <c r="D14"/>
      <c r="E14"/>
    </row>
    <row r="15" spans="2:5" x14ac:dyDescent="0.2">
      <c r="B15"/>
      <c r="C15"/>
      <c r="D15"/>
      <c r="E15"/>
    </row>
    <row r="16" spans="2:5" x14ac:dyDescent="0.2">
      <c r="B16"/>
      <c r="C16"/>
      <c r="D16"/>
      <c r="E16"/>
    </row>
    <row r="17" spans="2:5" x14ac:dyDescent="0.2">
      <c r="B17"/>
      <c r="C17"/>
      <c r="D17"/>
      <c r="E17"/>
    </row>
    <row r="18" spans="2:5" x14ac:dyDescent="0.2">
      <c r="B18"/>
      <c r="C18"/>
      <c r="D18"/>
      <c r="E18"/>
    </row>
    <row r="19" spans="2:5" x14ac:dyDescent="0.2">
      <c r="B19"/>
      <c r="C19"/>
      <c r="D19"/>
      <c r="E19"/>
    </row>
    <row r="20" spans="2:5" x14ac:dyDescent="0.2">
      <c r="B20"/>
      <c r="C20"/>
      <c r="D20"/>
      <c r="E20"/>
    </row>
    <row r="21" spans="2:5" x14ac:dyDescent="0.2">
      <c r="B21"/>
      <c r="C21"/>
      <c r="D21"/>
      <c r="E21"/>
    </row>
    <row r="22" spans="2:5" x14ac:dyDescent="0.2">
      <c r="B22"/>
      <c r="C22"/>
      <c r="D22"/>
      <c r="E22"/>
    </row>
    <row r="23" spans="2:5" x14ac:dyDescent="0.2">
      <c r="B23"/>
      <c r="C23"/>
      <c r="D23"/>
      <c r="E23"/>
    </row>
    <row r="24" spans="2:5" x14ac:dyDescent="0.2">
      <c r="B24"/>
      <c r="C24"/>
      <c r="D24"/>
      <c r="E24"/>
    </row>
    <row r="25" spans="2:5" x14ac:dyDescent="0.2">
      <c r="B25"/>
      <c r="C25"/>
      <c r="D25"/>
    </row>
    <row r="26" spans="2:5" x14ac:dyDescent="0.2">
      <c r="B26"/>
      <c r="C26"/>
      <c r="D26"/>
    </row>
    <row r="27" spans="2:5" x14ac:dyDescent="0.2">
      <c r="B27"/>
      <c r="C27"/>
      <c r="D27"/>
    </row>
    <row r="28" spans="2:5" x14ac:dyDescent="0.2">
      <c r="B28"/>
      <c r="C28"/>
      <c r="D28"/>
    </row>
    <row r="29" spans="2:5" x14ac:dyDescent="0.2">
      <c r="B29"/>
      <c r="C29"/>
      <c r="D29"/>
    </row>
    <row r="30" spans="2:5" x14ac:dyDescent="0.2">
      <c r="B30"/>
      <c r="C30"/>
      <c r="D30"/>
    </row>
    <row r="31" spans="2:5" x14ac:dyDescent="0.2">
      <c r="B31"/>
      <c r="C31"/>
      <c r="D31"/>
    </row>
    <row r="32" spans="2:5" x14ac:dyDescent="0.2">
      <c r="B32"/>
      <c r="C32"/>
      <c r="D32"/>
    </row>
    <row r="33" spans="2:4" x14ac:dyDescent="0.2">
      <c r="B33"/>
      <c r="C33"/>
      <c r="D33"/>
    </row>
    <row r="34" spans="2:4" x14ac:dyDescent="0.2">
      <c r="B34"/>
      <c r="C34"/>
      <c r="D34"/>
    </row>
    <row r="35" spans="2:4" x14ac:dyDescent="0.2">
      <c r="B35"/>
      <c r="C35"/>
      <c r="D35"/>
    </row>
    <row r="36" spans="2:4" x14ac:dyDescent="0.2">
      <c r="B36"/>
      <c r="C36"/>
      <c r="D36"/>
    </row>
    <row r="37" spans="2:4" x14ac:dyDescent="0.2">
      <c r="B37"/>
      <c r="C37"/>
      <c r="D37"/>
    </row>
    <row r="38" spans="2:4" x14ac:dyDescent="0.2">
      <c r="B38"/>
      <c r="C38"/>
      <c r="D38"/>
    </row>
    <row r="39" spans="2:4" x14ac:dyDescent="0.2">
      <c r="B39"/>
      <c r="C39"/>
      <c r="D39"/>
    </row>
    <row r="40" spans="2:4" x14ac:dyDescent="0.2">
      <c r="B40"/>
      <c r="C40"/>
      <c r="D40"/>
    </row>
    <row r="41" spans="2:4" x14ac:dyDescent="0.2">
      <c r="B41"/>
      <c r="C41"/>
      <c r="D41"/>
    </row>
    <row r="42" spans="2:4" x14ac:dyDescent="0.2">
      <c r="B42"/>
      <c r="C42"/>
      <c r="D42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x14ac:dyDescent="0.2">
      <c r="B45"/>
      <c r="C45"/>
      <c r="D45"/>
    </row>
    <row r="46" spans="2:4" x14ac:dyDescent="0.2">
      <c r="B46"/>
      <c r="C46"/>
      <c r="D46"/>
    </row>
    <row r="47" spans="2:4" x14ac:dyDescent="0.2">
      <c r="B47"/>
      <c r="C47"/>
      <c r="D47"/>
    </row>
    <row r="48" spans="2:4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  <row r="131" spans="2:4" x14ac:dyDescent="0.2">
      <c r="B131"/>
      <c r="C131"/>
      <c r="D131"/>
    </row>
    <row r="132" spans="2:4" x14ac:dyDescent="0.2">
      <c r="B132"/>
      <c r="C132"/>
      <c r="D132"/>
    </row>
    <row r="133" spans="2:4" x14ac:dyDescent="0.2">
      <c r="B133"/>
      <c r="C133"/>
      <c r="D133"/>
    </row>
    <row r="134" spans="2:4" x14ac:dyDescent="0.2">
      <c r="B134"/>
      <c r="C134"/>
      <c r="D134"/>
    </row>
    <row r="135" spans="2:4" x14ac:dyDescent="0.2">
      <c r="B135"/>
      <c r="C135"/>
      <c r="D135"/>
    </row>
    <row r="136" spans="2:4" x14ac:dyDescent="0.2">
      <c r="B136"/>
      <c r="C136"/>
      <c r="D136"/>
    </row>
    <row r="137" spans="2:4" x14ac:dyDescent="0.2">
      <c r="B137"/>
      <c r="C137"/>
      <c r="D137"/>
    </row>
    <row r="138" spans="2:4" x14ac:dyDescent="0.2">
      <c r="B138"/>
      <c r="C138"/>
      <c r="D138"/>
    </row>
    <row r="139" spans="2:4" x14ac:dyDescent="0.2">
      <c r="B139"/>
      <c r="C139"/>
      <c r="D139"/>
    </row>
    <row r="140" spans="2:4" x14ac:dyDescent="0.2">
      <c r="B140"/>
      <c r="C140"/>
      <c r="D140"/>
    </row>
    <row r="141" spans="2:4" x14ac:dyDescent="0.2">
      <c r="B141"/>
      <c r="C141"/>
      <c r="D141"/>
    </row>
    <row r="142" spans="2:4" x14ac:dyDescent="0.2">
      <c r="B142"/>
      <c r="C142"/>
      <c r="D142"/>
    </row>
    <row r="143" spans="2:4" x14ac:dyDescent="0.2">
      <c r="B143"/>
      <c r="C143"/>
      <c r="D143"/>
    </row>
    <row r="144" spans="2:4" x14ac:dyDescent="0.2">
      <c r="B144"/>
      <c r="C144"/>
      <c r="D144"/>
    </row>
    <row r="145" spans="2:4" x14ac:dyDescent="0.2">
      <c r="B145"/>
      <c r="C145"/>
      <c r="D145"/>
    </row>
    <row r="146" spans="2:4" x14ac:dyDescent="0.2">
      <c r="B146"/>
      <c r="C146"/>
      <c r="D146"/>
    </row>
    <row r="147" spans="2:4" x14ac:dyDescent="0.2">
      <c r="B147"/>
      <c r="C147"/>
      <c r="D147"/>
    </row>
    <row r="148" spans="2:4" x14ac:dyDescent="0.2">
      <c r="B148"/>
      <c r="C148"/>
      <c r="D148"/>
    </row>
    <row r="149" spans="2:4" x14ac:dyDescent="0.2">
      <c r="B149"/>
      <c r="C149"/>
      <c r="D149"/>
    </row>
    <row r="150" spans="2:4" x14ac:dyDescent="0.2">
      <c r="B150"/>
      <c r="C150"/>
      <c r="D150"/>
    </row>
    <row r="151" spans="2:4" x14ac:dyDescent="0.2">
      <c r="B151"/>
      <c r="C151"/>
      <c r="D151"/>
    </row>
    <row r="152" spans="2:4" x14ac:dyDescent="0.2">
      <c r="B152"/>
      <c r="C152"/>
      <c r="D152"/>
    </row>
    <row r="153" spans="2:4" x14ac:dyDescent="0.2">
      <c r="B153"/>
      <c r="C153"/>
      <c r="D153"/>
    </row>
    <row r="154" spans="2:4" x14ac:dyDescent="0.2">
      <c r="B154"/>
      <c r="C154"/>
      <c r="D154"/>
    </row>
    <row r="155" spans="2:4" x14ac:dyDescent="0.2">
      <c r="B155"/>
      <c r="C155"/>
      <c r="D155"/>
    </row>
    <row r="156" spans="2:4" x14ac:dyDescent="0.2">
      <c r="B156"/>
      <c r="C156"/>
      <c r="D156"/>
    </row>
    <row r="157" spans="2:4" x14ac:dyDescent="0.2">
      <c r="B157"/>
      <c r="C157"/>
      <c r="D157"/>
    </row>
    <row r="158" spans="2:4" x14ac:dyDescent="0.2">
      <c r="B158"/>
      <c r="C158"/>
      <c r="D158"/>
    </row>
    <row r="159" spans="2:4" x14ac:dyDescent="0.2">
      <c r="B159"/>
      <c r="C159"/>
      <c r="D159"/>
    </row>
    <row r="160" spans="2:4" x14ac:dyDescent="0.2">
      <c r="B160"/>
      <c r="C160"/>
      <c r="D160"/>
    </row>
    <row r="161" spans="2:4" x14ac:dyDescent="0.2">
      <c r="B161"/>
      <c r="C161"/>
      <c r="D161"/>
    </row>
    <row r="162" spans="2:4" x14ac:dyDescent="0.2">
      <c r="B162"/>
      <c r="C162"/>
      <c r="D162"/>
    </row>
    <row r="163" spans="2:4" x14ac:dyDescent="0.2">
      <c r="B163"/>
      <c r="C163"/>
      <c r="D163"/>
    </row>
    <row r="164" spans="2:4" x14ac:dyDescent="0.2">
      <c r="B164"/>
      <c r="C164"/>
      <c r="D164"/>
    </row>
    <row r="165" spans="2:4" x14ac:dyDescent="0.2">
      <c r="B165"/>
      <c r="C165"/>
      <c r="D165"/>
    </row>
    <row r="166" spans="2:4" x14ac:dyDescent="0.2">
      <c r="B166"/>
      <c r="C166"/>
      <c r="D166"/>
    </row>
    <row r="167" spans="2:4" x14ac:dyDescent="0.2">
      <c r="B167"/>
      <c r="C167"/>
      <c r="D167"/>
    </row>
    <row r="168" spans="2:4" x14ac:dyDescent="0.2">
      <c r="B168"/>
      <c r="C168"/>
      <c r="D168"/>
    </row>
    <row r="169" spans="2:4" x14ac:dyDescent="0.2">
      <c r="B169"/>
      <c r="C169"/>
      <c r="D169"/>
    </row>
    <row r="170" spans="2:4" x14ac:dyDescent="0.2">
      <c r="B170"/>
      <c r="C170"/>
      <c r="D170"/>
    </row>
    <row r="171" spans="2:4" x14ac:dyDescent="0.2">
      <c r="B171"/>
      <c r="C171"/>
      <c r="D171"/>
    </row>
    <row r="172" spans="2:4" x14ac:dyDescent="0.2">
      <c r="B172"/>
      <c r="C172"/>
      <c r="D172"/>
    </row>
    <row r="173" spans="2:4" x14ac:dyDescent="0.2">
      <c r="B173"/>
      <c r="C173"/>
      <c r="D173"/>
    </row>
    <row r="174" spans="2:4" x14ac:dyDescent="0.2">
      <c r="B174"/>
      <c r="C174"/>
      <c r="D174"/>
    </row>
    <row r="175" spans="2:4" x14ac:dyDescent="0.2">
      <c r="B175"/>
      <c r="C175"/>
      <c r="D175"/>
    </row>
    <row r="176" spans="2:4" x14ac:dyDescent="0.2">
      <c r="B176"/>
      <c r="C176"/>
      <c r="D176"/>
    </row>
    <row r="177" spans="2:4" x14ac:dyDescent="0.2">
      <c r="B177"/>
      <c r="C177"/>
      <c r="D177"/>
    </row>
    <row r="178" spans="2:4" x14ac:dyDescent="0.2">
      <c r="B178"/>
      <c r="C178"/>
      <c r="D178"/>
    </row>
    <row r="179" spans="2:4" x14ac:dyDescent="0.2">
      <c r="B179"/>
      <c r="C179"/>
      <c r="D179"/>
    </row>
    <row r="180" spans="2:4" x14ac:dyDescent="0.2">
      <c r="B180"/>
      <c r="C180"/>
      <c r="D180"/>
    </row>
    <row r="181" spans="2:4" x14ac:dyDescent="0.2">
      <c r="B181"/>
      <c r="C181"/>
      <c r="D181"/>
    </row>
    <row r="182" spans="2:4" x14ac:dyDescent="0.2">
      <c r="B182"/>
      <c r="C182"/>
      <c r="D182"/>
    </row>
    <row r="183" spans="2:4" x14ac:dyDescent="0.2">
      <c r="B183"/>
      <c r="C183"/>
      <c r="D183"/>
    </row>
    <row r="184" spans="2:4" x14ac:dyDescent="0.2">
      <c r="B184"/>
      <c r="C184"/>
      <c r="D184"/>
    </row>
    <row r="185" spans="2:4" x14ac:dyDescent="0.2">
      <c r="B185"/>
      <c r="C185"/>
      <c r="D185"/>
    </row>
    <row r="186" spans="2:4" x14ac:dyDescent="0.2">
      <c r="B186"/>
      <c r="C186"/>
      <c r="D186"/>
    </row>
    <row r="187" spans="2:4" x14ac:dyDescent="0.2">
      <c r="B187"/>
      <c r="C187"/>
      <c r="D187"/>
    </row>
    <row r="188" spans="2:4" x14ac:dyDescent="0.2">
      <c r="B188"/>
      <c r="C188"/>
      <c r="D188"/>
    </row>
    <row r="189" spans="2:4" x14ac:dyDescent="0.2">
      <c r="B189"/>
      <c r="C189"/>
      <c r="D189"/>
    </row>
    <row r="190" spans="2:4" x14ac:dyDescent="0.2">
      <c r="B190"/>
      <c r="C190"/>
      <c r="D190"/>
    </row>
    <row r="191" spans="2:4" x14ac:dyDescent="0.2">
      <c r="B191"/>
      <c r="C191"/>
      <c r="D191"/>
    </row>
    <row r="192" spans="2:4" x14ac:dyDescent="0.2">
      <c r="B192"/>
      <c r="C192"/>
      <c r="D192"/>
    </row>
    <row r="193" spans="2:4" x14ac:dyDescent="0.2">
      <c r="B193"/>
      <c r="C193"/>
      <c r="D193"/>
    </row>
    <row r="194" spans="2:4" x14ac:dyDescent="0.2">
      <c r="B194"/>
      <c r="C194"/>
      <c r="D194"/>
    </row>
    <row r="195" spans="2:4" x14ac:dyDescent="0.2">
      <c r="B195"/>
      <c r="C195"/>
      <c r="D195"/>
    </row>
    <row r="196" spans="2:4" x14ac:dyDescent="0.2">
      <c r="B196"/>
      <c r="C196"/>
      <c r="D196"/>
    </row>
    <row r="197" spans="2:4" x14ac:dyDescent="0.2">
      <c r="B197"/>
      <c r="C197"/>
      <c r="D197"/>
    </row>
    <row r="198" spans="2:4" x14ac:dyDescent="0.2">
      <c r="B198"/>
      <c r="C198"/>
      <c r="D198"/>
    </row>
    <row r="199" spans="2:4" x14ac:dyDescent="0.2">
      <c r="B199"/>
      <c r="C199"/>
      <c r="D199"/>
    </row>
    <row r="200" spans="2:4" x14ac:dyDescent="0.2">
      <c r="B200"/>
      <c r="C200"/>
      <c r="D200"/>
    </row>
    <row r="201" spans="2:4" x14ac:dyDescent="0.2">
      <c r="B201"/>
      <c r="C201"/>
      <c r="D201"/>
    </row>
    <row r="202" spans="2:4" x14ac:dyDescent="0.2">
      <c r="B202"/>
      <c r="C202"/>
      <c r="D202"/>
    </row>
    <row r="203" spans="2:4" x14ac:dyDescent="0.2">
      <c r="B203"/>
      <c r="C203"/>
      <c r="D203"/>
    </row>
    <row r="204" spans="2:4" x14ac:dyDescent="0.2">
      <c r="B204"/>
      <c r="C204"/>
      <c r="D204"/>
    </row>
    <row r="205" spans="2:4" x14ac:dyDescent="0.2">
      <c r="B205"/>
      <c r="C205"/>
      <c r="D205"/>
    </row>
    <row r="206" spans="2:4" x14ac:dyDescent="0.2">
      <c r="B206"/>
      <c r="C206"/>
      <c r="D206"/>
    </row>
    <row r="207" spans="2:4" x14ac:dyDescent="0.2">
      <c r="B207"/>
      <c r="C207"/>
      <c r="D207"/>
    </row>
    <row r="208" spans="2:4" x14ac:dyDescent="0.2">
      <c r="B208"/>
      <c r="C208"/>
      <c r="D208"/>
    </row>
    <row r="209" spans="2:4" x14ac:dyDescent="0.2">
      <c r="B209"/>
      <c r="C209"/>
      <c r="D209"/>
    </row>
    <row r="210" spans="2:4" x14ac:dyDescent="0.2">
      <c r="B210"/>
      <c r="C210"/>
      <c r="D210"/>
    </row>
    <row r="211" spans="2:4" x14ac:dyDescent="0.2">
      <c r="B211"/>
      <c r="C211"/>
      <c r="D211"/>
    </row>
    <row r="212" spans="2:4" x14ac:dyDescent="0.2">
      <c r="B212"/>
      <c r="C212"/>
      <c r="D212"/>
    </row>
    <row r="213" spans="2:4" x14ac:dyDescent="0.2">
      <c r="B213"/>
      <c r="C213"/>
      <c r="D213"/>
    </row>
    <row r="214" spans="2:4" x14ac:dyDescent="0.2">
      <c r="B214"/>
      <c r="C214"/>
      <c r="D214"/>
    </row>
    <row r="215" spans="2:4" x14ac:dyDescent="0.2">
      <c r="B215"/>
      <c r="C215"/>
      <c r="D215"/>
    </row>
    <row r="216" spans="2:4" x14ac:dyDescent="0.2">
      <c r="B216"/>
      <c r="C216"/>
      <c r="D216"/>
    </row>
    <row r="217" spans="2:4" x14ac:dyDescent="0.2">
      <c r="B217"/>
      <c r="C217"/>
      <c r="D217"/>
    </row>
    <row r="218" spans="2:4" x14ac:dyDescent="0.2">
      <c r="B218"/>
      <c r="C218"/>
      <c r="D218"/>
    </row>
    <row r="219" spans="2:4" x14ac:dyDescent="0.2">
      <c r="B219"/>
      <c r="C219"/>
      <c r="D219"/>
    </row>
    <row r="220" spans="2:4" x14ac:dyDescent="0.2">
      <c r="B220"/>
      <c r="C220"/>
      <c r="D220"/>
    </row>
    <row r="221" spans="2:4" x14ac:dyDescent="0.2">
      <c r="B221"/>
      <c r="C221"/>
      <c r="D221"/>
    </row>
    <row r="222" spans="2:4" x14ac:dyDescent="0.2">
      <c r="B222"/>
      <c r="C222"/>
      <c r="D222"/>
    </row>
    <row r="223" spans="2:4" x14ac:dyDescent="0.2">
      <c r="B223"/>
      <c r="C223"/>
      <c r="D223"/>
    </row>
    <row r="224" spans="2:4" x14ac:dyDescent="0.2">
      <c r="B224"/>
      <c r="C224"/>
      <c r="D224"/>
    </row>
    <row r="225" spans="2:4" x14ac:dyDescent="0.2">
      <c r="B225"/>
      <c r="C225"/>
      <c r="D225"/>
    </row>
    <row r="226" spans="2:4" x14ac:dyDescent="0.2">
      <c r="B226"/>
      <c r="C226"/>
      <c r="D226"/>
    </row>
    <row r="227" spans="2:4" x14ac:dyDescent="0.2">
      <c r="B227"/>
      <c r="C227"/>
      <c r="D227"/>
    </row>
    <row r="228" spans="2:4" x14ac:dyDescent="0.2">
      <c r="B228"/>
      <c r="C228"/>
      <c r="D228"/>
    </row>
    <row r="229" spans="2:4" x14ac:dyDescent="0.2">
      <c r="B229"/>
      <c r="C229"/>
      <c r="D229"/>
    </row>
    <row r="230" spans="2:4" x14ac:dyDescent="0.2">
      <c r="B230"/>
      <c r="C230"/>
      <c r="D230"/>
    </row>
    <row r="231" spans="2:4" x14ac:dyDescent="0.2">
      <c r="B231"/>
      <c r="C231"/>
      <c r="D231"/>
    </row>
    <row r="232" spans="2:4" x14ac:dyDescent="0.2">
      <c r="B232"/>
      <c r="C232"/>
      <c r="D232"/>
    </row>
    <row r="233" spans="2:4" x14ac:dyDescent="0.2">
      <c r="B233"/>
      <c r="C233"/>
      <c r="D233"/>
    </row>
    <row r="234" spans="2:4" x14ac:dyDescent="0.2">
      <c r="B234"/>
      <c r="C234"/>
      <c r="D234"/>
    </row>
    <row r="235" spans="2:4" x14ac:dyDescent="0.2">
      <c r="B235"/>
      <c r="C235"/>
      <c r="D235"/>
    </row>
    <row r="236" spans="2:4" x14ac:dyDescent="0.2">
      <c r="B236"/>
      <c r="C236"/>
      <c r="D236"/>
    </row>
    <row r="237" spans="2:4" x14ac:dyDescent="0.2">
      <c r="B237"/>
      <c r="C237"/>
      <c r="D237"/>
    </row>
    <row r="238" spans="2:4" x14ac:dyDescent="0.2">
      <c r="B238"/>
      <c r="C238"/>
      <c r="D238"/>
    </row>
    <row r="239" spans="2:4" x14ac:dyDescent="0.2">
      <c r="B239"/>
      <c r="C239"/>
      <c r="D239"/>
    </row>
    <row r="240" spans="2:4" x14ac:dyDescent="0.2">
      <c r="B240"/>
      <c r="C240"/>
      <c r="D240"/>
    </row>
    <row r="241" spans="2:4" x14ac:dyDescent="0.2">
      <c r="B241"/>
      <c r="C241"/>
      <c r="D241"/>
    </row>
    <row r="242" spans="2:4" x14ac:dyDescent="0.2">
      <c r="B242"/>
      <c r="C242"/>
      <c r="D242"/>
    </row>
    <row r="243" spans="2:4" x14ac:dyDescent="0.2">
      <c r="B243"/>
      <c r="C243"/>
      <c r="D243"/>
    </row>
    <row r="244" spans="2:4" x14ac:dyDescent="0.2">
      <c r="B244"/>
      <c r="C244"/>
      <c r="D244"/>
    </row>
    <row r="245" spans="2:4" x14ac:dyDescent="0.2">
      <c r="B245"/>
      <c r="C245"/>
      <c r="D245"/>
    </row>
    <row r="246" spans="2:4" x14ac:dyDescent="0.2">
      <c r="B246"/>
      <c r="C246"/>
      <c r="D246"/>
    </row>
    <row r="247" spans="2:4" x14ac:dyDescent="0.2">
      <c r="B247"/>
      <c r="C247"/>
      <c r="D247"/>
    </row>
    <row r="248" spans="2:4" x14ac:dyDescent="0.2">
      <c r="B248"/>
      <c r="C248"/>
      <c r="D248"/>
    </row>
    <row r="249" spans="2:4" x14ac:dyDescent="0.2">
      <c r="B249"/>
      <c r="C249"/>
      <c r="D249"/>
    </row>
    <row r="250" spans="2:4" x14ac:dyDescent="0.2">
      <c r="B250"/>
      <c r="C250"/>
      <c r="D250"/>
    </row>
    <row r="251" spans="2:4" x14ac:dyDescent="0.2">
      <c r="B251"/>
      <c r="C251"/>
      <c r="D251"/>
    </row>
    <row r="252" spans="2:4" x14ac:dyDescent="0.2">
      <c r="B252"/>
      <c r="C252"/>
      <c r="D252"/>
    </row>
    <row r="253" spans="2:4" x14ac:dyDescent="0.2">
      <c r="B253"/>
      <c r="C253"/>
      <c r="D253"/>
    </row>
    <row r="254" spans="2:4" x14ac:dyDescent="0.2">
      <c r="B254"/>
      <c r="C254"/>
      <c r="D254"/>
    </row>
    <row r="255" spans="2:4" x14ac:dyDescent="0.2">
      <c r="B255"/>
      <c r="C255"/>
      <c r="D255"/>
    </row>
    <row r="256" spans="2:4" x14ac:dyDescent="0.2">
      <c r="B256"/>
      <c r="C256"/>
      <c r="D256"/>
    </row>
    <row r="257" spans="2:4" x14ac:dyDescent="0.2">
      <c r="B257"/>
      <c r="C257"/>
      <c r="D257"/>
    </row>
    <row r="258" spans="2:4" x14ac:dyDescent="0.2">
      <c r="B258"/>
      <c r="C258"/>
      <c r="D258"/>
    </row>
    <row r="259" spans="2:4" x14ac:dyDescent="0.2">
      <c r="B259"/>
      <c r="C259"/>
      <c r="D259"/>
    </row>
    <row r="260" spans="2:4" x14ac:dyDescent="0.2">
      <c r="B260"/>
      <c r="C260"/>
      <c r="D260"/>
    </row>
    <row r="261" spans="2:4" x14ac:dyDescent="0.2">
      <c r="B261"/>
      <c r="C261"/>
      <c r="D261"/>
    </row>
    <row r="262" spans="2:4" x14ac:dyDescent="0.2">
      <c r="B262"/>
      <c r="C262"/>
      <c r="D262"/>
    </row>
    <row r="263" spans="2:4" x14ac:dyDescent="0.2">
      <c r="B263"/>
      <c r="C263"/>
      <c r="D263"/>
    </row>
    <row r="264" spans="2:4" x14ac:dyDescent="0.2">
      <c r="B264"/>
      <c r="C264"/>
      <c r="D264"/>
    </row>
    <row r="265" spans="2:4" x14ac:dyDescent="0.2">
      <c r="B265"/>
      <c r="C265"/>
      <c r="D265"/>
    </row>
    <row r="266" spans="2:4" x14ac:dyDescent="0.2">
      <c r="B266"/>
      <c r="C266"/>
      <c r="D266"/>
    </row>
    <row r="267" spans="2:4" x14ac:dyDescent="0.2">
      <c r="B267"/>
      <c r="C267"/>
      <c r="D267"/>
    </row>
    <row r="268" spans="2:4" x14ac:dyDescent="0.2">
      <c r="B268"/>
      <c r="C268"/>
      <c r="D268"/>
    </row>
    <row r="269" spans="2:4" x14ac:dyDescent="0.2">
      <c r="B269"/>
      <c r="C269"/>
      <c r="D269"/>
    </row>
    <row r="270" spans="2:4" x14ac:dyDescent="0.2">
      <c r="B270"/>
      <c r="C270"/>
      <c r="D270"/>
    </row>
    <row r="271" spans="2:4" x14ac:dyDescent="0.2">
      <c r="B271"/>
      <c r="C271"/>
      <c r="D271"/>
    </row>
    <row r="272" spans="2:4" x14ac:dyDescent="0.2">
      <c r="B272"/>
      <c r="C272"/>
      <c r="D272"/>
    </row>
    <row r="273" spans="2:4" x14ac:dyDescent="0.2">
      <c r="B273"/>
      <c r="C273"/>
      <c r="D273"/>
    </row>
    <row r="274" spans="2:4" x14ac:dyDescent="0.2">
      <c r="B274"/>
      <c r="C274"/>
      <c r="D274"/>
    </row>
    <row r="275" spans="2:4" x14ac:dyDescent="0.2">
      <c r="B275"/>
      <c r="C275"/>
      <c r="D275"/>
    </row>
    <row r="276" spans="2:4" x14ac:dyDescent="0.2">
      <c r="B276"/>
      <c r="C276"/>
      <c r="D276"/>
    </row>
    <row r="277" spans="2:4" x14ac:dyDescent="0.2">
      <c r="B277"/>
      <c r="C277"/>
      <c r="D277"/>
    </row>
    <row r="278" spans="2:4" x14ac:dyDescent="0.2">
      <c r="B278"/>
      <c r="C278"/>
      <c r="D278"/>
    </row>
    <row r="279" spans="2:4" x14ac:dyDescent="0.2">
      <c r="B279"/>
      <c r="C279"/>
      <c r="D279"/>
    </row>
    <row r="280" spans="2:4" x14ac:dyDescent="0.2">
      <c r="B280"/>
      <c r="C280"/>
      <c r="D280"/>
    </row>
    <row r="281" spans="2:4" x14ac:dyDescent="0.2">
      <c r="B281"/>
      <c r="C281"/>
      <c r="D281"/>
    </row>
    <row r="282" spans="2:4" x14ac:dyDescent="0.2">
      <c r="B282"/>
      <c r="C282"/>
      <c r="D282"/>
    </row>
    <row r="283" spans="2:4" x14ac:dyDescent="0.2">
      <c r="B283"/>
      <c r="C283"/>
      <c r="D283"/>
    </row>
    <row r="284" spans="2:4" x14ac:dyDescent="0.2">
      <c r="B284"/>
      <c r="C284"/>
      <c r="D284"/>
    </row>
    <row r="285" spans="2:4" x14ac:dyDescent="0.2">
      <c r="B285"/>
      <c r="C285"/>
      <c r="D285"/>
    </row>
    <row r="286" spans="2:4" x14ac:dyDescent="0.2">
      <c r="B286"/>
      <c r="C286"/>
      <c r="D286"/>
    </row>
    <row r="287" spans="2:4" x14ac:dyDescent="0.2">
      <c r="B287"/>
      <c r="C287"/>
      <c r="D287"/>
    </row>
    <row r="288" spans="2:4" x14ac:dyDescent="0.2">
      <c r="B288"/>
      <c r="C288"/>
      <c r="D288"/>
    </row>
    <row r="289" spans="2:4" x14ac:dyDescent="0.2">
      <c r="B289"/>
      <c r="C289"/>
      <c r="D289"/>
    </row>
    <row r="290" spans="2:4" x14ac:dyDescent="0.2">
      <c r="B290"/>
      <c r="C290"/>
      <c r="D290"/>
    </row>
    <row r="291" spans="2:4" x14ac:dyDescent="0.2">
      <c r="B291"/>
      <c r="C291"/>
      <c r="D291"/>
    </row>
    <row r="292" spans="2:4" x14ac:dyDescent="0.2">
      <c r="B292"/>
      <c r="C292"/>
      <c r="D292"/>
    </row>
    <row r="293" spans="2:4" x14ac:dyDescent="0.2">
      <c r="B293"/>
      <c r="C293"/>
      <c r="D293"/>
    </row>
    <row r="294" spans="2:4" x14ac:dyDescent="0.2">
      <c r="B294"/>
      <c r="C294"/>
      <c r="D294"/>
    </row>
    <row r="295" spans="2:4" x14ac:dyDescent="0.2">
      <c r="B295"/>
      <c r="C295"/>
      <c r="D295"/>
    </row>
    <row r="296" spans="2:4" x14ac:dyDescent="0.2">
      <c r="B296"/>
      <c r="C296"/>
      <c r="D296"/>
    </row>
    <row r="297" spans="2:4" x14ac:dyDescent="0.2">
      <c r="B297"/>
      <c r="C297"/>
      <c r="D297"/>
    </row>
    <row r="298" spans="2:4" x14ac:dyDescent="0.2">
      <c r="B298"/>
      <c r="C298"/>
      <c r="D298"/>
    </row>
    <row r="299" spans="2:4" x14ac:dyDescent="0.2">
      <c r="B299"/>
      <c r="C299"/>
      <c r="D299"/>
    </row>
    <row r="300" spans="2:4" x14ac:dyDescent="0.2">
      <c r="B300"/>
      <c r="C300"/>
      <c r="D300"/>
    </row>
    <row r="301" spans="2:4" x14ac:dyDescent="0.2">
      <c r="B301"/>
      <c r="C301"/>
      <c r="D301"/>
    </row>
    <row r="302" spans="2:4" x14ac:dyDescent="0.2">
      <c r="B302"/>
      <c r="C302"/>
      <c r="D302"/>
    </row>
    <row r="303" spans="2:4" x14ac:dyDescent="0.2">
      <c r="B303"/>
      <c r="C303"/>
      <c r="D303"/>
    </row>
    <row r="304" spans="2:4" x14ac:dyDescent="0.2">
      <c r="B304"/>
      <c r="C304"/>
      <c r="D304"/>
    </row>
    <row r="305" spans="2:4" x14ac:dyDescent="0.2">
      <c r="B305"/>
      <c r="C305"/>
      <c r="D305"/>
    </row>
    <row r="306" spans="2:4" x14ac:dyDescent="0.2">
      <c r="B306"/>
      <c r="C306"/>
      <c r="D306"/>
    </row>
    <row r="307" spans="2:4" x14ac:dyDescent="0.2">
      <c r="B307"/>
      <c r="C307"/>
      <c r="D307"/>
    </row>
    <row r="308" spans="2:4" x14ac:dyDescent="0.2">
      <c r="B308"/>
      <c r="C308"/>
      <c r="D308"/>
    </row>
    <row r="309" spans="2:4" x14ac:dyDescent="0.2">
      <c r="B309"/>
      <c r="C309"/>
      <c r="D309"/>
    </row>
    <row r="310" spans="2:4" x14ac:dyDescent="0.2">
      <c r="B310"/>
      <c r="C310"/>
      <c r="D310"/>
    </row>
    <row r="311" spans="2:4" x14ac:dyDescent="0.2">
      <c r="B311"/>
      <c r="C311"/>
      <c r="D311"/>
    </row>
    <row r="312" spans="2:4" x14ac:dyDescent="0.2">
      <c r="B312"/>
      <c r="C312"/>
      <c r="D312"/>
    </row>
    <row r="313" spans="2:4" x14ac:dyDescent="0.2">
      <c r="B313"/>
      <c r="C313"/>
      <c r="D313"/>
    </row>
    <row r="314" spans="2:4" x14ac:dyDescent="0.2">
      <c r="B314"/>
      <c r="C314"/>
      <c r="D314"/>
    </row>
    <row r="315" spans="2:4" x14ac:dyDescent="0.2">
      <c r="B315"/>
      <c r="C315"/>
      <c r="D315"/>
    </row>
    <row r="316" spans="2:4" x14ac:dyDescent="0.2">
      <c r="B316"/>
      <c r="C316"/>
      <c r="D316"/>
    </row>
    <row r="317" spans="2:4" x14ac:dyDescent="0.2">
      <c r="B317"/>
      <c r="C317"/>
      <c r="D317"/>
    </row>
    <row r="318" spans="2:4" x14ac:dyDescent="0.2">
      <c r="B318"/>
      <c r="C318"/>
      <c r="D318"/>
    </row>
    <row r="319" spans="2:4" x14ac:dyDescent="0.2">
      <c r="B319"/>
      <c r="C319"/>
      <c r="D319"/>
    </row>
    <row r="320" spans="2:4" x14ac:dyDescent="0.2">
      <c r="B320"/>
      <c r="C320"/>
      <c r="D320"/>
    </row>
    <row r="321" spans="2:4" x14ac:dyDescent="0.2">
      <c r="B321"/>
      <c r="C321"/>
      <c r="D321"/>
    </row>
    <row r="322" spans="2:4" x14ac:dyDescent="0.2">
      <c r="B322"/>
      <c r="C322"/>
      <c r="D322"/>
    </row>
    <row r="323" spans="2:4" x14ac:dyDescent="0.2">
      <c r="B323"/>
      <c r="C323"/>
      <c r="D323"/>
    </row>
    <row r="324" spans="2:4" x14ac:dyDescent="0.2">
      <c r="B324"/>
      <c r="C324"/>
      <c r="D324"/>
    </row>
    <row r="325" spans="2:4" x14ac:dyDescent="0.2">
      <c r="B325"/>
      <c r="C325"/>
      <c r="D325"/>
    </row>
    <row r="326" spans="2:4" x14ac:dyDescent="0.2">
      <c r="B326"/>
      <c r="C326"/>
      <c r="D326"/>
    </row>
    <row r="327" spans="2:4" x14ac:dyDescent="0.2">
      <c r="B327"/>
      <c r="C327"/>
      <c r="D327"/>
    </row>
    <row r="328" spans="2:4" x14ac:dyDescent="0.2">
      <c r="B328"/>
      <c r="C328"/>
      <c r="D328"/>
    </row>
    <row r="329" spans="2:4" x14ac:dyDescent="0.2">
      <c r="B329"/>
      <c r="C329"/>
      <c r="D329"/>
    </row>
    <row r="330" spans="2:4" x14ac:dyDescent="0.2">
      <c r="B330"/>
      <c r="C330"/>
      <c r="D330"/>
    </row>
    <row r="331" spans="2:4" x14ac:dyDescent="0.2">
      <c r="B331"/>
      <c r="C331"/>
      <c r="D331"/>
    </row>
    <row r="332" spans="2:4" x14ac:dyDescent="0.2">
      <c r="B332"/>
      <c r="C332"/>
      <c r="D332"/>
    </row>
    <row r="333" spans="2:4" x14ac:dyDescent="0.2">
      <c r="B333"/>
      <c r="C333"/>
      <c r="D333"/>
    </row>
    <row r="334" spans="2:4" x14ac:dyDescent="0.2">
      <c r="B334"/>
      <c r="C334"/>
      <c r="D334"/>
    </row>
    <row r="335" spans="2:4" x14ac:dyDescent="0.2">
      <c r="B335"/>
      <c r="C335"/>
      <c r="D335"/>
    </row>
    <row r="336" spans="2:4" x14ac:dyDescent="0.2">
      <c r="B336"/>
      <c r="C336"/>
      <c r="D336"/>
    </row>
    <row r="337" spans="2:4" x14ac:dyDescent="0.2">
      <c r="B337"/>
      <c r="C337"/>
      <c r="D337"/>
    </row>
    <row r="338" spans="2:4" x14ac:dyDescent="0.2">
      <c r="B338"/>
      <c r="C338"/>
      <c r="D338"/>
    </row>
    <row r="339" spans="2:4" x14ac:dyDescent="0.2">
      <c r="B339"/>
      <c r="C339"/>
      <c r="D339"/>
    </row>
    <row r="340" spans="2:4" x14ac:dyDescent="0.2">
      <c r="B340"/>
      <c r="C340"/>
      <c r="D340"/>
    </row>
    <row r="341" spans="2:4" x14ac:dyDescent="0.2">
      <c r="B341"/>
      <c r="C341"/>
      <c r="D341"/>
    </row>
  </sheetData>
  <sheetProtection pivotTables="0"/>
  <pageMargins left="0.39370078740157483" right="0.39370078740157483" top="0.39370078740157483" bottom="0.39370078740157483" header="0" footer="0"/>
  <pageSetup paperSize="9" scale="92" fitToHeight="0" orientation="portrait" r:id="rId2"/>
  <headerFooter scaleWithDoc="0">
    <oddFooter>&amp;L&amp;G&amp;C&amp;"-,Obyčejné"&amp;8&amp;K00-049Tisk: &amp;D &amp;T&amp;R&amp;"-,Obyčejné"&amp;8&amp;K00-049&amp;F</oddFoot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60"/>
  <sheetViews>
    <sheetView workbookViewId="0">
      <pane ySplit="1" topLeftCell="A125" activePane="bottomLeft" state="frozen"/>
      <selection activeCell="B139" sqref="B139"/>
      <selection pane="bottomLeft" activeCell="A150" sqref="A150"/>
    </sheetView>
  </sheetViews>
  <sheetFormatPr defaultRowHeight="11.25" x14ac:dyDescent="0.2"/>
  <cols>
    <col min="1" max="1" width="7.5703125" style="18" bestFit="1" customWidth="1"/>
    <col min="2" max="2" width="35.5703125" style="19" customWidth="1"/>
    <col min="3" max="3" width="8.5703125" style="19" bestFit="1" customWidth="1"/>
    <col min="4" max="4" width="5.42578125" style="19" customWidth="1"/>
    <col min="5" max="5" width="6.140625" style="36" bestFit="1" customWidth="1"/>
    <col min="6" max="6" width="4.85546875" style="19" bestFit="1" customWidth="1" collapsed="1"/>
    <col min="7" max="8" width="4.85546875" style="19" bestFit="1" customWidth="1"/>
    <col min="9" max="9" width="44" style="1" bestFit="1" customWidth="1"/>
    <col min="10" max="10" width="6.5703125" style="5" bestFit="1" customWidth="1"/>
    <col min="11" max="13" width="5" style="19" bestFit="1" customWidth="1"/>
    <col min="14" max="14" width="22.85546875" style="1" bestFit="1" customWidth="1"/>
    <col min="15" max="15" width="9.140625" style="19"/>
    <col min="16" max="16384" width="9.140625" style="1"/>
  </cols>
  <sheetData>
    <row r="1" spans="1:15" x14ac:dyDescent="0.2">
      <c r="A1" s="24" t="s">
        <v>258</v>
      </c>
      <c r="B1" s="25" t="s">
        <v>259</v>
      </c>
      <c r="C1" s="25" t="s">
        <v>268</v>
      </c>
      <c r="D1" s="25" t="s">
        <v>85</v>
      </c>
      <c r="E1" s="35" t="s">
        <v>329</v>
      </c>
      <c r="F1" s="25" t="s">
        <v>269</v>
      </c>
      <c r="G1" s="25" t="s">
        <v>270</v>
      </c>
      <c r="H1" s="25" t="s">
        <v>271</v>
      </c>
      <c r="I1" s="34" t="s">
        <v>330</v>
      </c>
      <c r="J1" s="33" t="s">
        <v>374</v>
      </c>
      <c r="K1" s="25" t="s">
        <v>375</v>
      </c>
      <c r="L1" s="25" t="s">
        <v>376</v>
      </c>
      <c r="M1" s="25" t="s">
        <v>377</v>
      </c>
      <c r="N1" s="34" t="s">
        <v>331</v>
      </c>
      <c r="O1" s="25" t="s">
        <v>289</v>
      </c>
    </row>
    <row r="2" spans="1:15" x14ac:dyDescent="0.2">
      <c r="A2" s="18">
        <v>11</v>
      </c>
      <c r="B2" s="19" t="s">
        <v>0</v>
      </c>
      <c r="C2" s="19" t="s">
        <v>468</v>
      </c>
      <c r="D2" s="19" t="s">
        <v>333</v>
      </c>
      <c r="E2" s="36">
        <v>5</v>
      </c>
      <c r="F2" s="19" t="s">
        <v>275</v>
      </c>
      <c r="G2" s="19" t="s">
        <v>276</v>
      </c>
      <c r="H2" s="19" t="s">
        <v>277</v>
      </c>
      <c r="I2" s="1" t="str">
        <f>IF(ISBLANK(E2),"ručně doplnit",IF(E2="-","není ve výkazech",IF(C2="Rozvaha",VLOOKUP(E2,'řádky R'!$A:$B,2,0),IF(C2="Výsledovka",VLOOKUP(E2,'řádky V'!A:M,2,0)))))</f>
        <v>Zřizovací výdaje</v>
      </c>
      <c r="N2" s="1" t="str">
        <f>IF(ISBLANK(J2),"není alternativa",IF(J2="-","není ve výkazech",VLOOKUP(J2,'řádky R'!$A:$B,2,0)))</f>
        <v>není alternativa</v>
      </c>
      <c r="O2" s="19" t="s">
        <v>290</v>
      </c>
    </row>
    <row r="3" spans="1:15" x14ac:dyDescent="0.2">
      <c r="A3" s="18">
        <v>12</v>
      </c>
      <c r="B3" s="19" t="s">
        <v>1</v>
      </c>
      <c r="C3" s="19" t="s">
        <v>468</v>
      </c>
      <c r="D3" s="19" t="s">
        <v>333</v>
      </c>
      <c r="E3" s="36">
        <v>6</v>
      </c>
      <c r="F3" s="19" t="s">
        <v>275</v>
      </c>
      <c r="G3" s="19" t="s">
        <v>276</v>
      </c>
      <c r="H3" s="19" t="s">
        <v>278</v>
      </c>
      <c r="I3" s="1" t="str">
        <f>IF(ISBLANK(E3),"ručně doplnit",IF(E3="-","není ve výkazech",IF(C3="Rozvaha",VLOOKUP(E3,'řádky R'!$A:$B,2,0),IF(C3="Výsledovka",VLOOKUP(E3,'řádky V'!A:M,2,0)))))</f>
        <v xml:space="preserve">Nehmotné výsledky výzkumu a vývoje </v>
      </c>
      <c r="N3" s="1" t="str">
        <f>IF(ISBLANK(J3),"není alternativa",IF(J3="-","není ve výkazech",VLOOKUP(J3,'řádky R'!$A:$B,2,0)))</f>
        <v>není alternativa</v>
      </c>
      <c r="O3" s="19" t="s">
        <v>290</v>
      </c>
    </row>
    <row r="4" spans="1:15" x14ac:dyDescent="0.2">
      <c r="A4" s="18">
        <v>13</v>
      </c>
      <c r="B4" s="19" t="s">
        <v>2</v>
      </c>
      <c r="C4" s="19" t="s">
        <v>468</v>
      </c>
      <c r="D4" s="19" t="s">
        <v>333</v>
      </c>
      <c r="E4" s="36">
        <v>7</v>
      </c>
      <c r="F4" s="19" t="s">
        <v>275</v>
      </c>
      <c r="G4" s="19" t="s">
        <v>276</v>
      </c>
      <c r="H4" s="19" t="s">
        <v>279</v>
      </c>
      <c r="I4" s="1" t="str">
        <f>IF(ISBLANK(E4),"ručně doplnit",IF(E4="-","není ve výkazech",IF(C4="Rozvaha",VLOOKUP(E4,'řádky R'!$A:$B,2,0),IF(C4="Výsledovka",VLOOKUP(E4,'řádky V'!A:M,2,0)))))</f>
        <v>Software</v>
      </c>
      <c r="N4" s="1" t="str">
        <f>IF(ISBLANK(J4),"není alternativa",IF(J4="-","není ve výkazech",VLOOKUP(J4,'řádky R'!$A:$B,2,0)))</f>
        <v>není alternativa</v>
      </c>
      <c r="O4" s="19" t="s">
        <v>290</v>
      </c>
    </row>
    <row r="5" spans="1:15" x14ac:dyDescent="0.2">
      <c r="A5" s="18">
        <v>14</v>
      </c>
      <c r="B5" s="19" t="s">
        <v>3</v>
      </c>
      <c r="C5" s="19" t="s">
        <v>468</v>
      </c>
      <c r="D5" s="19" t="s">
        <v>333</v>
      </c>
      <c r="E5" s="36">
        <v>8</v>
      </c>
      <c r="F5" s="19" t="s">
        <v>275</v>
      </c>
      <c r="G5" s="19" t="s">
        <v>276</v>
      </c>
      <c r="H5" s="19" t="s">
        <v>280</v>
      </c>
      <c r="I5" s="1" t="str">
        <f>IF(ISBLANK(E5),"ručně doplnit",IF(E5="-","není ve výkazech",IF(C5="Rozvaha",VLOOKUP(E5,'řádky R'!$A:$B,2,0),IF(C5="Výsledovka",VLOOKUP(E5,'řádky V'!A:M,2,0)))))</f>
        <v>Ocenitelná práva</v>
      </c>
      <c r="N5" s="1" t="str">
        <f>IF(ISBLANK(J5),"není alternativa",IF(J5="-","není ve výkazech",VLOOKUP(J5,'řádky R'!$A:$B,2,0)))</f>
        <v>není alternativa</v>
      </c>
      <c r="O5" s="19" t="s">
        <v>290</v>
      </c>
    </row>
    <row r="6" spans="1:15" x14ac:dyDescent="0.2">
      <c r="A6" s="18">
        <v>15</v>
      </c>
      <c r="B6" s="19" t="s">
        <v>4</v>
      </c>
      <c r="C6" s="19" t="s">
        <v>468</v>
      </c>
      <c r="D6" s="19" t="s">
        <v>333</v>
      </c>
      <c r="E6" s="36">
        <v>9</v>
      </c>
      <c r="F6" s="19" t="s">
        <v>275</v>
      </c>
      <c r="G6" s="19" t="s">
        <v>276</v>
      </c>
      <c r="H6" s="19" t="s">
        <v>281</v>
      </c>
      <c r="I6" s="1" t="str">
        <f>IF(ISBLANK(E6),"ručně doplnit",IF(E6="-","není ve výkazech",IF(C6="Rozvaha",VLOOKUP(E6,'řádky R'!$A:$B,2,0),IF(C6="Výsledovka",VLOOKUP(E6,'řádky V'!A:M,2,0)))))</f>
        <v>Goodwill</v>
      </c>
      <c r="N6" s="1" t="str">
        <f>IF(ISBLANK(J6),"není alternativa",IF(J6="-","není ve výkazech",VLOOKUP(J6,'řádky R'!$A:$B,2,0)))</f>
        <v>není alternativa</v>
      </c>
      <c r="O6" s="19" t="s">
        <v>290</v>
      </c>
    </row>
    <row r="7" spans="1:15" x14ac:dyDescent="0.2">
      <c r="A7" s="18">
        <v>19</v>
      </c>
      <c r="B7" s="19" t="s">
        <v>5</v>
      </c>
      <c r="C7" s="19" t="s">
        <v>468</v>
      </c>
      <c r="D7" s="19" t="s">
        <v>333</v>
      </c>
      <c r="E7" s="36">
        <v>10</v>
      </c>
      <c r="F7" s="19" t="s">
        <v>275</v>
      </c>
      <c r="G7" s="19" t="s">
        <v>276</v>
      </c>
      <c r="H7" s="19" t="s">
        <v>282</v>
      </c>
      <c r="I7" s="1" t="str">
        <f>IF(ISBLANK(E7),"ručně doplnit",IF(E7="-","není ve výkazech",IF(C7="Rozvaha",VLOOKUP(E7,'řádky R'!$A:$B,2,0),IF(C7="Výsledovka",VLOOKUP(E7,'řádky V'!A:M,2,0)))))</f>
        <v>Jiný dlouhodobý nehmotný majetek</v>
      </c>
      <c r="N7" s="1" t="str">
        <f>IF(ISBLANK(J7),"není alternativa",IF(J7="-","není ve výkazech",VLOOKUP(J7,'řádky R'!$A:$B,2,0)))</f>
        <v>není alternativa</v>
      </c>
      <c r="O7" s="19" t="s">
        <v>290</v>
      </c>
    </row>
    <row r="8" spans="1:15" x14ac:dyDescent="0.2">
      <c r="A8" s="18">
        <v>21</v>
      </c>
      <c r="B8" s="19" t="s">
        <v>6</v>
      </c>
      <c r="C8" s="19" t="s">
        <v>468</v>
      </c>
      <c r="D8" s="19" t="s">
        <v>333</v>
      </c>
      <c r="E8" s="36">
        <v>15</v>
      </c>
      <c r="F8" s="19" t="s">
        <v>275</v>
      </c>
      <c r="G8" s="19" t="s">
        <v>286</v>
      </c>
      <c r="H8" s="19" t="s">
        <v>278</v>
      </c>
      <c r="I8" s="1" t="str">
        <f>IF(ISBLANK(E8),"ručně doplnit",IF(E8="-","není ve výkazech",IF(C8="Rozvaha",VLOOKUP(E8,'řádky R'!$A:$B,2,0),IF(C8="Výsledovka",VLOOKUP(E8,'řádky V'!A:M,2,0)))))</f>
        <v>Stavby</v>
      </c>
      <c r="N8" s="1" t="str">
        <f>IF(ISBLANK(J8),"není alternativa",IF(J8="-","není ve výkazech",VLOOKUP(J8,'řádky R'!$A:$B,2,0)))</f>
        <v>není alternativa</v>
      </c>
      <c r="O8" s="19" t="s">
        <v>290</v>
      </c>
    </row>
    <row r="9" spans="1:15" x14ac:dyDescent="0.2">
      <c r="A9" s="18">
        <v>22</v>
      </c>
      <c r="B9" s="19" t="s">
        <v>7</v>
      </c>
      <c r="C9" s="19" t="s">
        <v>468</v>
      </c>
      <c r="D9" s="19" t="s">
        <v>333</v>
      </c>
      <c r="E9" s="36">
        <v>16</v>
      </c>
      <c r="F9" s="19" t="s">
        <v>275</v>
      </c>
      <c r="G9" s="19" t="s">
        <v>286</v>
      </c>
      <c r="H9" s="19" t="s">
        <v>279</v>
      </c>
      <c r="I9" s="1" t="str">
        <f>IF(ISBLANK(E9),"ručně doplnit",IF(E9="-","není ve výkazech",IF(C9="Rozvaha",VLOOKUP(E9,'řádky R'!$A:$B,2,0),IF(C9="Výsledovka",VLOOKUP(E9,'řádky V'!A:M,2,0)))))</f>
        <v>Samostatné movité věci a soubory movitých věcí</v>
      </c>
      <c r="N9" s="1" t="str">
        <f>IF(ISBLANK(J9),"není alternativa",IF(J9="-","není ve výkazech",VLOOKUP(J9,'řádky R'!$A:$B,2,0)))</f>
        <v>není alternativa</v>
      </c>
      <c r="O9" s="19" t="s">
        <v>290</v>
      </c>
    </row>
    <row r="10" spans="1:15" x14ac:dyDescent="0.2">
      <c r="A10" s="18">
        <v>25</v>
      </c>
      <c r="B10" s="19" t="s">
        <v>8</v>
      </c>
      <c r="C10" s="19" t="s">
        <v>468</v>
      </c>
      <c r="D10" s="19" t="s">
        <v>333</v>
      </c>
      <c r="E10" s="36">
        <v>17</v>
      </c>
      <c r="F10" s="19" t="s">
        <v>275</v>
      </c>
      <c r="G10" s="19" t="s">
        <v>286</v>
      </c>
      <c r="H10" s="19" t="s">
        <v>280</v>
      </c>
      <c r="I10" s="1" t="str">
        <f>IF(ISBLANK(E10),"ručně doplnit",IF(E10="-","není ve výkazech",IF(C10="Rozvaha",VLOOKUP(E10,'řádky R'!$A:$B,2,0),IF(C10="Výsledovka",VLOOKUP(E10,'řádky V'!A:M,2,0)))))</f>
        <v>Pěstitelské celky trvalých porostů</v>
      </c>
      <c r="N10" s="1" t="str">
        <f>IF(ISBLANK(J10),"není alternativa",IF(J10="-","není ve výkazech",VLOOKUP(J10,'řádky R'!$A:$B,2,0)))</f>
        <v>není alternativa</v>
      </c>
      <c r="O10" s="19" t="s">
        <v>290</v>
      </c>
    </row>
    <row r="11" spans="1:15" x14ac:dyDescent="0.2">
      <c r="A11" s="18">
        <v>26</v>
      </c>
      <c r="B11" s="19" t="s">
        <v>9</v>
      </c>
      <c r="C11" s="19" t="s">
        <v>468</v>
      </c>
      <c r="D11" s="19" t="s">
        <v>333</v>
      </c>
      <c r="E11" s="36">
        <v>18</v>
      </c>
      <c r="F11" s="19" t="s">
        <v>275</v>
      </c>
      <c r="G11" s="19" t="s">
        <v>286</v>
      </c>
      <c r="H11" s="19" t="s">
        <v>281</v>
      </c>
      <c r="I11" s="1" t="str">
        <f>IF(ISBLANK(E11),"ručně doplnit",IF(E11="-","není ve výkazech",IF(C11="Rozvaha",VLOOKUP(E11,'řádky R'!$A:$B,2,0),IF(C11="Výsledovka",VLOOKUP(E11,'řádky V'!A:M,2,0)))))</f>
        <v>Dospělá zvířata a jejich skupiny</v>
      </c>
      <c r="N11" s="1" t="str">
        <f>IF(ISBLANK(J11),"není alternativa",IF(J11="-","není ve výkazech",VLOOKUP(J11,'řádky R'!$A:$B,2,0)))</f>
        <v>není alternativa</v>
      </c>
      <c r="O11" s="19" t="s">
        <v>290</v>
      </c>
    </row>
    <row r="12" spans="1:15" x14ac:dyDescent="0.2">
      <c r="A12" s="18">
        <v>29</v>
      </c>
      <c r="B12" s="19" t="s">
        <v>10</v>
      </c>
      <c r="C12" s="19" t="s">
        <v>468</v>
      </c>
      <c r="D12" s="19" t="s">
        <v>333</v>
      </c>
      <c r="E12" s="36">
        <v>19</v>
      </c>
      <c r="F12" s="19" t="s">
        <v>275</v>
      </c>
      <c r="G12" s="19" t="s">
        <v>286</v>
      </c>
      <c r="H12" s="19" t="s">
        <v>282</v>
      </c>
      <c r="I12" s="1" t="str">
        <f>IF(ISBLANK(E12),"ručně doplnit",IF(E12="-","není ve výkazech",IF(C12="Rozvaha",VLOOKUP(E12,'řádky R'!$A:$B,2,0),IF(C12="Výsledovka",VLOOKUP(E12,'řádky V'!A:M,2,0)))))</f>
        <v>Jiný dlouhodobý hmotný majetek</v>
      </c>
      <c r="N12" s="1" t="str">
        <f>IF(ISBLANK(J12),"není alternativa",IF(J12="-","není ve výkazech",VLOOKUP(J12,'řádky R'!$A:$B,2,0)))</f>
        <v>není alternativa</v>
      </c>
      <c r="O12" s="19" t="s">
        <v>290</v>
      </c>
    </row>
    <row r="13" spans="1:15" x14ac:dyDescent="0.2">
      <c r="A13" s="18">
        <v>31</v>
      </c>
      <c r="B13" s="19" t="s">
        <v>11</v>
      </c>
      <c r="C13" s="19" t="s">
        <v>468</v>
      </c>
      <c r="D13" s="19" t="s">
        <v>333</v>
      </c>
      <c r="E13" s="36">
        <v>14</v>
      </c>
      <c r="F13" s="19" t="s">
        <v>275</v>
      </c>
      <c r="G13" s="19" t="s">
        <v>286</v>
      </c>
      <c r="H13" s="19" t="s">
        <v>277</v>
      </c>
      <c r="I13" s="1" t="str">
        <f>IF(ISBLANK(E13),"ručně doplnit",IF(E13="-","není ve výkazech",IF(C13="Rozvaha",VLOOKUP(E13,'řádky R'!$A:$B,2,0),IF(C13="Výsledovka",VLOOKUP(E13,'řádky V'!A:M,2,0)))))</f>
        <v>Pozemky</v>
      </c>
      <c r="N13" s="1" t="str">
        <f>IF(ISBLANK(J13),"není alternativa",IF(J13="-","není ve výkazech",VLOOKUP(J13,'řádky R'!$A:$B,2,0)))</f>
        <v>není alternativa</v>
      </c>
      <c r="O13" s="19" t="s">
        <v>290</v>
      </c>
    </row>
    <row r="14" spans="1:15" x14ac:dyDescent="0.2">
      <c r="A14" s="18">
        <v>32</v>
      </c>
      <c r="B14" s="19" t="s">
        <v>12</v>
      </c>
      <c r="C14" s="19" t="s">
        <v>468</v>
      </c>
      <c r="D14" s="19" t="s">
        <v>333</v>
      </c>
      <c r="E14" s="36">
        <v>19</v>
      </c>
      <c r="F14" s="19" t="s">
        <v>275</v>
      </c>
      <c r="G14" s="19" t="s">
        <v>286</v>
      </c>
      <c r="H14" s="19" t="s">
        <v>282</v>
      </c>
      <c r="I14" s="1" t="str">
        <f>IF(ISBLANK(E14),"ručně doplnit",IF(E14="-","není ve výkazech",IF(C14="Rozvaha",VLOOKUP(E14,'řádky R'!$A:$B,2,0),IF(C14="Výsledovka",VLOOKUP(E14,'řádky V'!A:M,2,0)))))</f>
        <v>Jiný dlouhodobý hmotný majetek</v>
      </c>
      <c r="N14" s="1" t="str">
        <f>IF(ISBLANK(J14),"není alternativa",IF(J14="-","není ve výkazech",VLOOKUP(J14,'řádky R'!$A:$B,2,0)))</f>
        <v>není alternativa</v>
      </c>
      <c r="O14" s="19" t="s">
        <v>290</v>
      </c>
    </row>
    <row r="15" spans="1:15" x14ac:dyDescent="0.2">
      <c r="A15" s="18">
        <v>41</v>
      </c>
      <c r="B15" s="19" t="s">
        <v>13</v>
      </c>
      <c r="C15" s="19" t="s">
        <v>468</v>
      </c>
      <c r="D15" s="19" t="s">
        <v>333</v>
      </c>
      <c r="E15" s="36">
        <v>11</v>
      </c>
      <c r="F15" s="19" t="s">
        <v>275</v>
      </c>
      <c r="G15" s="19" t="s">
        <v>276</v>
      </c>
      <c r="H15" s="19" t="s">
        <v>283</v>
      </c>
      <c r="I15" s="1" t="str">
        <f>IF(ISBLANK(E15),"ručně doplnit",IF(E15="-","není ve výkazech",IF(C15="Rozvaha",VLOOKUP(E15,'řádky R'!$A:$B,2,0),IF(C15="Výsledovka",VLOOKUP(E15,'řádky V'!A:M,2,0)))))</f>
        <v>Nedokončený dlouhodobý nehmotný majetek</v>
      </c>
      <c r="N15" s="1" t="str">
        <f>IF(ISBLANK(J15),"není alternativa",IF(J15="-","není ve výkazech",VLOOKUP(J15,'řádky R'!$A:$B,2,0)))</f>
        <v>není alternativa</v>
      </c>
      <c r="O15" s="19" t="s">
        <v>290</v>
      </c>
    </row>
    <row r="16" spans="1:15" x14ac:dyDescent="0.2">
      <c r="A16" s="18">
        <v>42</v>
      </c>
      <c r="B16" s="19" t="s">
        <v>14</v>
      </c>
      <c r="C16" s="19" t="s">
        <v>468</v>
      </c>
      <c r="D16" s="19" t="s">
        <v>333</v>
      </c>
      <c r="E16" s="36">
        <v>20</v>
      </c>
      <c r="F16" s="19" t="s">
        <v>275</v>
      </c>
      <c r="G16" s="19" t="s">
        <v>286</v>
      </c>
      <c r="H16" s="19" t="s">
        <v>283</v>
      </c>
      <c r="I16" s="1" t="str">
        <f>IF(ISBLANK(E16),"ručně doplnit",IF(E16="-","není ve výkazech",IF(C16="Rozvaha",VLOOKUP(E16,'řádky R'!$A:$B,2,0),IF(C16="Výsledovka",VLOOKUP(E16,'řádky V'!A:M,2,0)))))</f>
        <v>Nedokončený dlouhodobý hmotný majetek</v>
      </c>
      <c r="N16" s="1" t="str">
        <f>IF(ISBLANK(J16),"není alternativa",IF(J16="-","není ve výkazech",VLOOKUP(J16,'řádky R'!$A:$B,2,0)))</f>
        <v>není alternativa</v>
      </c>
      <c r="O16" s="19" t="s">
        <v>290</v>
      </c>
    </row>
    <row r="17" spans="1:15" x14ac:dyDescent="0.2">
      <c r="A17" s="18">
        <v>43</v>
      </c>
      <c r="B17" s="19" t="s">
        <v>15</v>
      </c>
      <c r="C17" s="19" t="s">
        <v>468</v>
      </c>
      <c r="D17" s="19" t="s">
        <v>333</v>
      </c>
      <c r="E17" s="36">
        <v>29</v>
      </c>
      <c r="F17" s="19" t="s">
        <v>275</v>
      </c>
      <c r="G17" s="19" t="s">
        <v>291</v>
      </c>
      <c r="H17" s="19" t="s">
        <v>282</v>
      </c>
      <c r="I17" s="1" t="str">
        <f>IF(ISBLANK(E17),"ručně doplnit",IF(E17="-","není ve výkazech",IF(C17="Rozvaha",VLOOKUP(E17,'řádky R'!$A:$B,2,0),IF(C17="Výsledovka",VLOOKUP(E17,'řádky V'!A:M,2,0)))))</f>
        <v>Pořizovaný dlouhodobý finanční majetek</v>
      </c>
      <c r="N17" s="1" t="str">
        <f>IF(ISBLANK(J17),"není alternativa",IF(J17="-","není ve výkazech",VLOOKUP(J17,'řádky R'!$A:$B,2,0)))</f>
        <v>není alternativa</v>
      </c>
      <c r="O17" s="19" t="s">
        <v>290</v>
      </c>
    </row>
    <row r="18" spans="1:15" x14ac:dyDescent="0.2">
      <c r="A18" s="18">
        <v>51</v>
      </c>
      <c r="B18" s="19" t="s">
        <v>16</v>
      </c>
      <c r="C18" s="19" t="s">
        <v>468</v>
      </c>
      <c r="D18" s="19" t="s">
        <v>333</v>
      </c>
      <c r="E18" s="36">
        <v>12</v>
      </c>
      <c r="F18" s="19" t="s">
        <v>275</v>
      </c>
      <c r="G18" s="19" t="s">
        <v>276</v>
      </c>
      <c r="H18" s="19" t="s">
        <v>284</v>
      </c>
      <c r="I18" s="1" t="str">
        <f>IF(ISBLANK(E18),"ručně doplnit",IF(E18="-","není ve výkazech",IF(C18="Rozvaha",VLOOKUP(E18,'řádky R'!$A:$B,2,0),IF(C18="Výsledovka",VLOOKUP(E18,'řádky V'!A:M,2,0)))))</f>
        <v>Poskytnuté zálohy na dlouhodobý nehmotný majetek</v>
      </c>
      <c r="N18" s="1" t="str">
        <f>IF(ISBLANK(J18),"není alternativa",IF(J18="-","není ve výkazech",VLOOKUP(J18,'řádky R'!$A:$B,2,0)))</f>
        <v>není alternativa</v>
      </c>
      <c r="O18" s="19" t="s">
        <v>290</v>
      </c>
    </row>
    <row r="19" spans="1:15" x14ac:dyDescent="0.2">
      <c r="A19" s="18">
        <v>52</v>
      </c>
      <c r="B19" s="19" t="s">
        <v>17</v>
      </c>
      <c r="C19" s="19" t="s">
        <v>468</v>
      </c>
      <c r="D19" s="19" t="s">
        <v>333</v>
      </c>
      <c r="E19" s="36">
        <v>21</v>
      </c>
      <c r="F19" s="19" t="s">
        <v>275</v>
      </c>
      <c r="G19" s="19" t="s">
        <v>286</v>
      </c>
      <c r="H19" s="19" t="s">
        <v>284</v>
      </c>
      <c r="I19" s="1" t="str">
        <f>IF(ISBLANK(E19),"ručně doplnit",IF(E19="-","není ve výkazech",IF(C19="Rozvaha",VLOOKUP(E19,'řádky R'!$A:$B,2,0),IF(C19="Výsledovka",VLOOKUP(E19,'řádky V'!A:M,2,0)))))</f>
        <v>Poskytnuté zálohy na dlouhodobý hmotný majetek</v>
      </c>
      <c r="N19" s="1" t="str">
        <f>IF(ISBLANK(J19),"není alternativa",IF(J19="-","není ve výkazech",VLOOKUP(J19,'řádky R'!$A:$B,2,0)))</f>
        <v>není alternativa</v>
      </c>
      <c r="O19" s="19" t="s">
        <v>290</v>
      </c>
    </row>
    <row r="20" spans="1:15" x14ac:dyDescent="0.2">
      <c r="A20" s="18">
        <v>53</v>
      </c>
      <c r="B20" s="19" t="s">
        <v>18</v>
      </c>
      <c r="C20" s="19" t="s">
        <v>468</v>
      </c>
      <c r="D20" s="19" t="s">
        <v>333</v>
      </c>
      <c r="E20" s="36">
        <v>30</v>
      </c>
      <c r="F20" s="19" t="s">
        <v>275</v>
      </c>
      <c r="G20" s="19" t="s">
        <v>291</v>
      </c>
      <c r="H20" s="19" t="s">
        <v>283</v>
      </c>
      <c r="I20" s="1" t="str">
        <f>IF(ISBLANK(E20),"ručně doplnit",IF(E20="-","není ve výkazech",IF(C20="Rozvaha",VLOOKUP(E20,'řádky R'!$A:$B,2,0),IF(C20="Výsledovka",VLOOKUP(E20,'řádky V'!A:M,2,0)))))</f>
        <v>Poskytnuté zálohy na dlouhodobý finanční majetek</v>
      </c>
      <c r="N20" s="1" t="str">
        <f>IF(ISBLANK(J20),"není alternativa",IF(J20="-","není ve výkazech",VLOOKUP(J20,'řádky R'!$A:$B,2,0)))</f>
        <v>není alternativa</v>
      </c>
      <c r="O20" s="19" t="s">
        <v>290</v>
      </c>
    </row>
    <row r="21" spans="1:15" x14ac:dyDescent="0.2">
      <c r="A21" s="18">
        <v>61</v>
      </c>
      <c r="B21" s="19" t="s">
        <v>19</v>
      </c>
      <c r="C21" s="19" t="s">
        <v>468</v>
      </c>
      <c r="D21" s="19" t="s">
        <v>333</v>
      </c>
      <c r="E21" s="36">
        <v>24</v>
      </c>
      <c r="F21" s="19" t="s">
        <v>275</v>
      </c>
      <c r="G21" s="19" t="s">
        <v>291</v>
      </c>
      <c r="H21" s="19" t="s">
        <v>277</v>
      </c>
      <c r="I21" s="1" t="str">
        <f>IF(ISBLANK(E21),"ručně doplnit",IF(E21="-","není ve výkazech",IF(C21="Rozvaha",VLOOKUP(E21,'řádky R'!$A:$B,2,0),IF(C21="Výsledovka",VLOOKUP(E21,'řádky V'!A:M,2,0)))))</f>
        <v>Podíly - ovládaná osoba</v>
      </c>
      <c r="N21" s="1" t="str">
        <f>IF(ISBLANK(J21),"není alternativa",IF(J21="-","není ve výkazech",VLOOKUP(J21,'řádky R'!$A:$B,2,0)))</f>
        <v>není alternativa</v>
      </c>
      <c r="O21" s="19" t="s">
        <v>290</v>
      </c>
    </row>
    <row r="22" spans="1:15" x14ac:dyDescent="0.2">
      <c r="A22" s="18">
        <v>62</v>
      </c>
      <c r="B22" s="19" t="s">
        <v>20</v>
      </c>
      <c r="C22" s="19" t="s">
        <v>468</v>
      </c>
      <c r="D22" s="19" t="s">
        <v>333</v>
      </c>
      <c r="E22" s="36">
        <v>25</v>
      </c>
      <c r="F22" s="19" t="s">
        <v>275</v>
      </c>
      <c r="G22" s="19" t="s">
        <v>291</v>
      </c>
      <c r="H22" s="19" t="s">
        <v>278</v>
      </c>
      <c r="I22" s="1" t="str">
        <f>IF(ISBLANK(E22),"ručně doplnit",IF(E22="-","není ve výkazech",IF(C22="Rozvaha",VLOOKUP(E22,'řádky R'!$A:$B,2,0),IF(C22="Výsledovka",VLOOKUP(E22,'řádky V'!A:M,2,0)))))</f>
        <v>Podíly v účetních jednotkách pod podstatným vlivem</v>
      </c>
      <c r="N22" s="1" t="str">
        <f>IF(ISBLANK(J22),"není alternativa",IF(J22="-","není ve výkazech",VLOOKUP(J22,'řádky R'!$A:$B,2,0)))</f>
        <v>není alternativa</v>
      </c>
      <c r="O22" s="19" t="s">
        <v>290</v>
      </c>
    </row>
    <row r="23" spans="1:15" x14ac:dyDescent="0.2">
      <c r="A23" s="18">
        <v>63</v>
      </c>
      <c r="B23" s="19" t="s">
        <v>21</v>
      </c>
      <c r="C23" s="19" t="s">
        <v>468</v>
      </c>
      <c r="D23" s="19" t="s">
        <v>333</v>
      </c>
      <c r="E23" s="36">
        <v>26</v>
      </c>
      <c r="F23" s="19" t="s">
        <v>275</v>
      </c>
      <c r="G23" s="19" t="s">
        <v>291</v>
      </c>
      <c r="H23" s="19" t="s">
        <v>279</v>
      </c>
      <c r="I23" s="1" t="str">
        <f>IF(ISBLANK(E23),"ručně doplnit",IF(E23="-","není ve výkazech",IF(C23="Rozvaha",VLOOKUP(E23,'řádky R'!$A:$B,2,0),IF(C23="Výsledovka",VLOOKUP(E23,'řádky V'!A:M,2,0)))))</f>
        <v>Ostatní dlouhodobé cenné papíry a podíly</v>
      </c>
      <c r="N23" s="1" t="str">
        <f>IF(ISBLANK(J23),"není alternativa",IF(J23="-","není ve výkazech",VLOOKUP(J23,'řádky R'!$A:$B,2,0)))</f>
        <v>není alternativa</v>
      </c>
      <c r="O23" s="19" t="s">
        <v>290</v>
      </c>
    </row>
    <row r="24" spans="1:15" x14ac:dyDescent="0.2">
      <c r="A24" s="18">
        <v>65</v>
      </c>
      <c r="B24" s="19" t="s">
        <v>22</v>
      </c>
      <c r="C24" s="19" t="s">
        <v>468</v>
      </c>
      <c r="D24" s="19" t="s">
        <v>333</v>
      </c>
      <c r="E24" s="36">
        <v>26</v>
      </c>
      <c r="F24" s="19" t="s">
        <v>275</v>
      </c>
      <c r="G24" s="19" t="s">
        <v>291</v>
      </c>
      <c r="H24" s="19" t="s">
        <v>279</v>
      </c>
      <c r="I24" s="1" t="str">
        <f>IF(ISBLANK(E24),"ručně doplnit",IF(E24="-","není ve výkazech",IF(C24="Rozvaha",VLOOKUP(E24,'řádky R'!$A:$B,2,0),IF(C24="Výsledovka",VLOOKUP(E24,'řádky V'!A:M,2,0)))))</f>
        <v>Ostatní dlouhodobé cenné papíry a podíly</v>
      </c>
      <c r="N24" s="1" t="str">
        <f>IF(ISBLANK(J24),"není alternativa",IF(J24="-","není ve výkazech",VLOOKUP(J24,'řádky R'!$A:$B,2,0)))</f>
        <v>není alternativa</v>
      </c>
      <c r="O24" s="19" t="s">
        <v>290</v>
      </c>
    </row>
    <row r="25" spans="1:15" x14ac:dyDescent="0.2">
      <c r="A25" s="18">
        <v>66</v>
      </c>
      <c r="B25" s="19" t="s">
        <v>23</v>
      </c>
      <c r="C25" s="19" t="s">
        <v>468</v>
      </c>
      <c r="D25" s="19" t="s">
        <v>333</v>
      </c>
      <c r="E25" s="36">
        <v>27</v>
      </c>
      <c r="F25" s="19" t="s">
        <v>275</v>
      </c>
      <c r="G25" s="19" t="s">
        <v>291</v>
      </c>
      <c r="H25" s="19" t="s">
        <v>280</v>
      </c>
      <c r="I25" s="1" t="str">
        <f>IF(ISBLANK(E25),"ručně doplnit",IF(E25="-","není ve výkazech",IF(C25="Rozvaha",VLOOKUP(E25,'řádky R'!$A:$B,2,0),IF(C25="Výsledovka",VLOOKUP(E25,'řádky V'!A:M,2,0)))))</f>
        <v>Půjčky a úvěry - ovládaná nebo ovládající osoba, podstatný vliv</v>
      </c>
      <c r="N25" s="1" t="str">
        <f>IF(ISBLANK(J25),"není alternativa",IF(J25="-","není ve výkazech",VLOOKUP(J25,'řádky R'!$A:$B,2,0)))</f>
        <v>není alternativa</v>
      </c>
      <c r="O25" s="19" t="s">
        <v>290</v>
      </c>
    </row>
    <row r="26" spans="1:15" x14ac:dyDescent="0.2">
      <c r="A26" s="18">
        <v>67</v>
      </c>
      <c r="B26" s="19" t="s">
        <v>24</v>
      </c>
      <c r="C26" s="19" t="s">
        <v>468</v>
      </c>
      <c r="D26" s="19" t="s">
        <v>333</v>
      </c>
      <c r="E26" s="36">
        <v>28</v>
      </c>
      <c r="F26" s="19" t="s">
        <v>275</v>
      </c>
      <c r="G26" s="19" t="s">
        <v>291</v>
      </c>
      <c r="H26" s="19" t="s">
        <v>281</v>
      </c>
      <c r="I26" s="1" t="str">
        <f>IF(ISBLANK(E26),"ručně doplnit",IF(E26="-","není ve výkazech",IF(C26="Rozvaha",VLOOKUP(E26,'řádky R'!$A:$B,2,0),IF(C26="Výsledovka",VLOOKUP(E26,'řádky V'!A:M,2,0)))))</f>
        <v>Jiný dlouhodobý finanční majetek</v>
      </c>
      <c r="N26" s="1" t="str">
        <f>IF(ISBLANK(J26),"není alternativa",IF(J26="-","není ve výkazech",VLOOKUP(J26,'řádky R'!$A:$B,2,0)))</f>
        <v>není alternativa</v>
      </c>
      <c r="O26" s="19" t="s">
        <v>290</v>
      </c>
    </row>
    <row r="27" spans="1:15" x14ac:dyDescent="0.2">
      <c r="A27" s="18">
        <v>69</v>
      </c>
      <c r="B27" s="19" t="s">
        <v>25</v>
      </c>
      <c r="C27" s="19" t="s">
        <v>468</v>
      </c>
      <c r="D27" s="19" t="s">
        <v>333</v>
      </c>
      <c r="E27" s="36">
        <v>28</v>
      </c>
      <c r="F27" s="19" t="s">
        <v>275</v>
      </c>
      <c r="G27" s="19" t="s">
        <v>291</v>
      </c>
      <c r="H27" s="19" t="s">
        <v>281</v>
      </c>
      <c r="I27" s="1" t="str">
        <f>IF(ISBLANK(E27),"ručně doplnit",IF(E27="-","není ve výkazech",IF(C27="Rozvaha",VLOOKUP(E27,'řádky R'!$A:$B,2,0),IF(C27="Výsledovka",VLOOKUP(E27,'řádky V'!A:M,2,0)))))</f>
        <v>Jiný dlouhodobý finanční majetek</v>
      </c>
      <c r="N27" s="1" t="str">
        <f>IF(ISBLANK(J27),"není alternativa",IF(J27="-","není ve výkazech",VLOOKUP(J27,'řádky R'!$A:$B,2,0)))</f>
        <v>není alternativa</v>
      </c>
      <c r="O27" s="19" t="s">
        <v>290</v>
      </c>
    </row>
    <row r="28" spans="1:15" x14ac:dyDescent="0.2">
      <c r="A28" s="18">
        <v>71</v>
      </c>
      <c r="B28" s="19" t="s">
        <v>26</v>
      </c>
      <c r="C28" s="19" t="s">
        <v>468</v>
      </c>
      <c r="D28" s="19" t="s">
        <v>333</v>
      </c>
      <c r="E28" s="36">
        <v>5</v>
      </c>
      <c r="F28" s="19" t="s">
        <v>275</v>
      </c>
      <c r="G28" s="19" t="s">
        <v>276</v>
      </c>
      <c r="H28" s="19" t="s">
        <v>277</v>
      </c>
      <c r="I28" s="1" t="str">
        <f>IF(ISBLANK(E28),"ručně doplnit",IF(E28="-","není ve výkazech",IF(C28="Rozvaha",VLOOKUP(E28,'řádky R'!$A:$B,2,0),IF(C28="Výsledovka",VLOOKUP(E28,'řádky V'!A:M,2,0)))))</f>
        <v>Zřizovací výdaje</v>
      </c>
      <c r="N28" s="1" t="str">
        <f>IF(ISBLANK(J28),"není alternativa",IF(J28="-","není ve výkazech",VLOOKUP(J28,'řádky R'!$A:$B,2,0)))</f>
        <v>není alternativa</v>
      </c>
      <c r="O28" s="19" t="s">
        <v>292</v>
      </c>
    </row>
    <row r="29" spans="1:15" x14ac:dyDescent="0.2">
      <c r="A29" s="18">
        <v>72</v>
      </c>
      <c r="B29" s="19" t="s">
        <v>27</v>
      </c>
      <c r="C29" s="19" t="s">
        <v>468</v>
      </c>
      <c r="D29" s="19" t="s">
        <v>333</v>
      </c>
      <c r="E29" s="36">
        <v>6</v>
      </c>
      <c r="F29" s="19" t="s">
        <v>275</v>
      </c>
      <c r="G29" s="19" t="s">
        <v>276</v>
      </c>
      <c r="H29" s="19" t="s">
        <v>278</v>
      </c>
      <c r="I29" s="1" t="str">
        <f>IF(ISBLANK(E29),"ručně doplnit",IF(E29="-","není ve výkazech",IF(C29="Rozvaha",VLOOKUP(E29,'řádky R'!$A:$B,2,0),IF(C29="Výsledovka",VLOOKUP(E29,'řádky V'!A:M,2,0)))))</f>
        <v xml:space="preserve">Nehmotné výsledky výzkumu a vývoje </v>
      </c>
      <c r="N29" s="1" t="str">
        <f>IF(ISBLANK(J29),"není alternativa",IF(J29="-","není ve výkazech",VLOOKUP(J29,'řádky R'!$A:$B,2,0)))</f>
        <v>není alternativa</v>
      </c>
      <c r="O29" s="19" t="s">
        <v>292</v>
      </c>
    </row>
    <row r="30" spans="1:15" x14ac:dyDescent="0.2">
      <c r="A30" s="18">
        <v>73</v>
      </c>
      <c r="B30" s="19" t="s">
        <v>28</v>
      </c>
      <c r="C30" s="19" t="s">
        <v>468</v>
      </c>
      <c r="D30" s="19" t="s">
        <v>333</v>
      </c>
      <c r="E30" s="36">
        <v>7</v>
      </c>
      <c r="F30" s="19" t="s">
        <v>275</v>
      </c>
      <c r="G30" s="19" t="s">
        <v>276</v>
      </c>
      <c r="H30" s="19" t="s">
        <v>279</v>
      </c>
      <c r="I30" s="1" t="str">
        <f>IF(ISBLANK(E30),"ručně doplnit",IF(E30="-","není ve výkazech",IF(C30="Rozvaha",VLOOKUP(E30,'řádky R'!$A:$B,2,0),IF(C30="Výsledovka",VLOOKUP(E30,'řádky V'!A:M,2,0)))))</f>
        <v>Software</v>
      </c>
      <c r="N30" s="1" t="str">
        <f>IF(ISBLANK(J30),"není alternativa",IF(J30="-","není ve výkazech",VLOOKUP(J30,'řádky R'!$A:$B,2,0)))</f>
        <v>není alternativa</v>
      </c>
      <c r="O30" s="19" t="s">
        <v>292</v>
      </c>
    </row>
    <row r="31" spans="1:15" x14ac:dyDescent="0.2">
      <c r="A31" s="18">
        <v>74</v>
      </c>
      <c r="B31" s="19" t="s">
        <v>29</v>
      </c>
      <c r="C31" s="19" t="s">
        <v>468</v>
      </c>
      <c r="D31" s="19" t="s">
        <v>333</v>
      </c>
      <c r="E31" s="36">
        <v>8</v>
      </c>
      <c r="F31" s="19" t="s">
        <v>275</v>
      </c>
      <c r="G31" s="19" t="s">
        <v>276</v>
      </c>
      <c r="H31" s="19" t="s">
        <v>280</v>
      </c>
      <c r="I31" s="1" t="str">
        <f>IF(ISBLANK(E31),"ručně doplnit",IF(E31="-","není ve výkazech",IF(C31="Rozvaha",VLOOKUP(E31,'řádky R'!$A:$B,2,0),IF(C31="Výsledovka",VLOOKUP(E31,'řádky V'!A:M,2,0)))))</f>
        <v>Ocenitelná práva</v>
      </c>
      <c r="N31" s="1" t="str">
        <f>IF(ISBLANK(J31),"není alternativa",IF(J31="-","není ve výkazech",VLOOKUP(J31,'řádky R'!$A:$B,2,0)))</f>
        <v>není alternativa</v>
      </c>
      <c r="O31" s="19" t="s">
        <v>292</v>
      </c>
    </row>
    <row r="32" spans="1:15" x14ac:dyDescent="0.2">
      <c r="A32" s="18">
        <v>75</v>
      </c>
      <c r="B32" s="19" t="s">
        <v>30</v>
      </c>
      <c r="C32" s="19" t="s">
        <v>468</v>
      </c>
      <c r="D32" s="19" t="s">
        <v>333</v>
      </c>
      <c r="E32" s="36">
        <v>9</v>
      </c>
      <c r="F32" s="19" t="s">
        <v>275</v>
      </c>
      <c r="G32" s="19" t="s">
        <v>276</v>
      </c>
      <c r="H32" s="19" t="s">
        <v>281</v>
      </c>
      <c r="I32" s="1" t="str">
        <f>IF(ISBLANK(E32),"ručně doplnit",IF(E32="-","není ve výkazech",IF(C32="Rozvaha",VLOOKUP(E32,'řádky R'!$A:$B,2,0),IF(C32="Výsledovka",VLOOKUP(E32,'řádky V'!A:M,2,0)))))</f>
        <v>Goodwill</v>
      </c>
      <c r="N32" s="1" t="str">
        <f>IF(ISBLANK(J32),"není alternativa",IF(J32="-","není ve výkazech",VLOOKUP(J32,'řádky R'!$A:$B,2,0)))</f>
        <v>není alternativa</v>
      </c>
      <c r="O32" s="19" t="s">
        <v>292</v>
      </c>
    </row>
    <row r="33" spans="1:15" x14ac:dyDescent="0.2">
      <c r="A33" s="18">
        <v>79</v>
      </c>
      <c r="B33" s="19" t="s">
        <v>31</v>
      </c>
      <c r="C33" s="19" t="s">
        <v>468</v>
      </c>
      <c r="D33" s="19" t="s">
        <v>333</v>
      </c>
      <c r="E33" s="36">
        <v>10</v>
      </c>
      <c r="F33" s="19" t="s">
        <v>275</v>
      </c>
      <c r="G33" s="19" t="s">
        <v>276</v>
      </c>
      <c r="H33" s="19" t="s">
        <v>282</v>
      </c>
      <c r="I33" s="1" t="str">
        <f>IF(ISBLANK(E33),"ručně doplnit",IF(E33="-","není ve výkazech",IF(C33="Rozvaha",VLOOKUP(E33,'řádky R'!$A:$B,2,0),IF(C33="Výsledovka",VLOOKUP(E33,'řádky V'!A:M,2,0)))))</f>
        <v>Jiný dlouhodobý nehmotný majetek</v>
      </c>
      <c r="N33" s="1" t="str">
        <f>IF(ISBLANK(J33),"není alternativa",IF(J33="-","není ve výkazech",VLOOKUP(J33,'řádky R'!$A:$B,2,0)))</f>
        <v>není alternativa</v>
      </c>
      <c r="O33" s="19" t="s">
        <v>292</v>
      </c>
    </row>
    <row r="34" spans="1:15" x14ac:dyDescent="0.2">
      <c r="A34" s="18">
        <v>81</v>
      </c>
      <c r="B34" s="19" t="s">
        <v>32</v>
      </c>
      <c r="C34" s="19" t="s">
        <v>468</v>
      </c>
      <c r="D34" s="19" t="s">
        <v>333</v>
      </c>
      <c r="E34" s="36">
        <v>15</v>
      </c>
      <c r="F34" s="19" t="s">
        <v>275</v>
      </c>
      <c r="G34" s="19" t="s">
        <v>286</v>
      </c>
      <c r="H34" s="19" t="s">
        <v>278</v>
      </c>
      <c r="I34" s="1" t="str">
        <f>IF(ISBLANK(E34),"ručně doplnit",IF(E34="-","není ve výkazech",IF(C34="Rozvaha",VLOOKUP(E34,'řádky R'!$A:$B,2,0),IF(C34="Výsledovka",VLOOKUP(E34,'řádky V'!A:M,2,0)))))</f>
        <v>Stavby</v>
      </c>
      <c r="N34" s="1" t="str">
        <f>IF(ISBLANK(J34),"není alternativa",IF(J34="-","není ve výkazech",VLOOKUP(J34,'řádky R'!$A:$B,2,0)))</f>
        <v>není alternativa</v>
      </c>
      <c r="O34" s="19" t="s">
        <v>292</v>
      </c>
    </row>
    <row r="35" spans="1:15" x14ac:dyDescent="0.2">
      <c r="A35" s="18">
        <v>82</v>
      </c>
      <c r="B35" s="19" t="s">
        <v>33</v>
      </c>
      <c r="C35" s="19" t="s">
        <v>468</v>
      </c>
      <c r="D35" s="19" t="s">
        <v>333</v>
      </c>
      <c r="E35" s="36">
        <v>16</v>
      </c>
      <c r="F35" s="19" t="s">
        <v>275</v>
      </c>
      <c r="G35" s="19" t="s">
        <v>286</v>
      </c>
      <c r="H35" s="19" t="s">
        <v>279</v>
      </c>
      <c r="I35" s="1" t="str">
        <f>IF(ISBLANK(E35),"ručně doplnit",IF(E35="-","není ve výkazech",IF(C35="Rozvaha",VLOOKUP(E35,'řádky R'!$A:$B,2,0),IF(C35="Výsledovka",VLOOKUP(E35,'řádky V'!A:M,2,0)))))</f>
        <v>Samostatné movité věci a soubory movitých věcí</v>
      </c>
      <c r="N35" s="1" t="str">
        <f>IF(ISBLANK(J35),"není alternativa",IF(J35="-","není ve výkazech",VLOOKUP(J35,'řádky R'!$A:$B,2,0)))</f>
        <v>není alternativa</v>
      </c>
      <c r="O35" s="19" t="s">
        <v>292</v>
      </c>
    </row>
    <row r="36" spans="1:15" x14ac:dyDescent="0.2">
      <c r="A36" s="18">
        <v>85</v>
      </c>
      <c r="B36" s="19" t="s">
        <v>34</v>
      </c>
      <c r="C36" s="19" t="s">
        <v>468</v>
      </c>
      <c r="D36" s="19" t="s">
        <v>333</v>
      </c>
      <c r="E36" s="36">
        <v>17</v>
      </c>
      <c r="F36" s="19" t="s">
        <v>275</v>
      </c>
      <c r="G36" s="19" t="s">
        <v>286</v>
      </c>
      <c r="H36" s="19" t="s">
        <v>280</v>
      </c>
      <c r="I36" s="1" t="str">
        <f>IF(ISBLANK(E36),"ručně doplnit",IF(E36="-","není ve výkazech",IF(C36="Rozvaha",VLOOKUP(E36,'řádky R'!$A:$B,2,0),IF(C36="Výsledovka",VLOOKUP(E36,'řádky V'!A:M,2,0)))))</f>
        <v>Pěstitelské celky trvalých porostů</v>
      </c>
      <c r="N36" s="1" t="str">
        <f>IF(ISBLANK(J36),"není alternativa",IF(J36="-","není ve výkazech",VLOOKUP(J36,'řádky R'!$A:$B,2,0)))</f>
        <v>není alternativa</v>
      </c>
      <c r="O36" s="19" t="s">
        <v>292</v>
      </c>
    </row>
    <row r="37" spans="1:15" x14ac:dyDescent="0.2">
      <c r="A37" s="18">
        <v>86</v>
      </c>
      <c r="B37" s="19" t="s">
        <v>35</v>
      </c>
      <c r="C37" s="19" t="s">
        <v>468</v>
      </c>
      <c r="D37" s="19" t="s">
        <v>333</v>
      </c>
      <c r="E37" s="36">
        <v>18</v>
      </c>
      <c r="F37" s="19" t="s">
        <v>275</v>
      </c>
      <c r="G37" s="19" t="s">
        <v>286</v>
      </c>
      <c r="H37" s="19" t="s">
        <v>281</v>
      </c>
      <c r="I37" s="1" t="str">
        <f>IF(ISBLANK(E37),"ručně doplnit",IF(E37="-","není ve výkazech",IF(C37="Rozvaha",VLOOKUP(E37,'řádky R'!$A:$B,2,0),IF(C37="Výsledovka",VLOOKUP(E37,'řádky V'!A:M,2,0)))))</f>
        <v>Dospělá zvířata a jejich skupiny</v>
      </c>
      <c r="N37" s="1" t="str">
        <f>IF(ISBLANK(J37),"není alternativa",IF(J37="-","není ve výkazech",VLOOKUP(J37,'řádky R'!$A:$B,2,0)))</f>
        <v>není alternativa</v>
      </c>
      <c r="O37" s="19" t="s">
        <v>292</v>
      </c>
    </row>
    <row r="38" spans="1:15" x14ac:dyDescent="0.2">
      <c r="A38" s="18">
        <v>89</v>
      </c>
      <c r="B38" s="19" t="s">
        <v>36</v>
      </c>
      <c r="C38" s="19" t="s">
        <v>468</v>
      </c>
      <c r="D38" s="19" t="s">
        <v>333</v>
      </c>
      <c r="E38" s="36">
        <v>19</v>
      </c>
      <c r="F38" s="19" t="s">
        <v>275</v>
      </c>
      <c r="G38" s="19" t="s">
        <v>286</v>
      </c>
      <c r="H38" s="19" t="s">
        <v>282</v>
      </c>
      <c r="I38" s="1" t="str">
        <f>IF(ISBLANK(E38),"ručně doplnit",IF(E38="-","není ve výkazech",IF(C38="Rozvaha",VLOOKUP(E38,'řádky R'!$A:$B,2,0),IF(C38="Výsledovka",VLOOKUP(E38,'řádky V'!A:M,2,0)))))</f>
        <v>Jiný dlouhodobý hmotný majetek</v>
      </c>
      <c r="N38" s="1" t="str">
        <f>IF(ISBLANK(J38),"není alternativa",IF(J38="-","není ve výkazech",VLOOKUP(J38,'řádky R'!$A:$B,2,0)))</f>
        <v>není alternativa</v>
      </c>
      <c r="O38" s="19" t="s">
        <v>292</v>
      </c>
    </row>
    <row r="39" spans="1:15" x14ac:dyDescent="0.2">
      <c r="A39" s="18">
        <v>91</v>
      </c>
      <c r="B39" s="19" t="s">
        <v>37</v>
      </c>
      <c r="C39" s="19" t="s">
        <v>468</v>
      </c>
      <c r="D39" s="19" t="s">
        <v>333</v>
      </c>
      <c r="E39" s="37"/>
      <c r="F39" s="21" t="s">
        <v>275</v>
      </c>
      <c r="G39" s="21" t="s">
        <v>276</v>
      </c>
      <c r="H39" s="21"/>
      <c r="I39" s="1" t="str">
        <f>IF(ISBLANK(E39),"ručně doplnit",IF(E39="-","není ve výkazech",IF(C39="Rozvaha",VLOOKUP(E39,'řádky R'!$A:$B,2,0),IF(C39="Výsledovka",VLOOKUP(E39,'řádky V'!A:M,2,0)))))</f>
        <v>ručně doplnit</v>
      </c>
      <c r="N39" s="1" t="str">
        <f>IF(ISBLANK(J39),"není alternativa",IF(J39="-","není ve výkazech",VLOOKUP(J39,'řádky R'!$A:$B,2,0)))</f>
        <v>není alternativa</v>
      </c>
      <c r="O39" s="19" t="s">
        <v>292</v>
      </c>
    </row>
    <row r="40" spans="1:15" x14ac:dyDescent="0.2">
      <c r="A40" s="18">
        <v>92</v>
      </c>
      <c r="B40" s="19" t="s">
        <v>38</v>
      </c>
      <c r="C40" s="19" t="s">
        <v>468</v>
      </c>
      <c r="D40" s="19" t="s">
        <v>333</v>
      </c>
      <c r="E40" s="37"/>
      <c r="F40" s="21" t="s">
        <v>275</v>
      </c>
      <c r="G40" s="21" t="s">
        <v>286</v>
      </c>
      <c r="H40" s="21"/>
      <c r="I40" s="1" t="str">
        <f>IF(ISBLANK(E40),"ručně doplnit",IF(E40="-","není ve výkazech",IF(C40="Rozvaha",VLOOKUP(E40,'řádky R'!$A:$B,2,0),IF(C40="Výsledovka",VLOOKUP(E40,'řádky V'!A:M,2,0)))))</f>
        <v>ručně doplnit</v>
      </c>
      <c r="N40" s="1" t="str">
        <f>IF(ISBLANK(J40),"není alternativa",IF(J40="-","není ve výkazech",VLOOKUP(J40,'řádky R'!$A:$B,2,0)))</f>
        <v>není alternativa</v>
      </c>
      <c r="O40" s="19" t="s">
        <v>292</v>
      </c>
    </row>
    <row r="41" spans="1:15" x14ac:dyDescent="0.2">
      <c r="A41" s="18">
        <v>93</v>
      </c>
      <c r="B41" s="19" t="s">
        <v>39</v>
      </c>
      <c r="C41" s="19" t="s">
        <v>468</v>
      </c>
      <c r="D41" s="19" t="s">
        <v>333</v>
      </c>
      <c r="E41" s="37">
        <v>11</v>
      </c>
      <c r="F41" s="21" t="s">
        <v>275</v>
      </c>
      <c r="G41" s="21" t="s">
        <v>276</v>
      </c>
      <c r="H41" s="21" t="s">
        <v>283</v>
      </c>
      <c r="I41" s="1" t="str">
        <f>IF(ISBLANK(E41),"ručně doplnit",IF(E41="-","není ve výkazech",IF(C41="Rozvaha",VLOOKUP(E41,'řádky R'!$A:$B,2,0),IF(C41="Výsledovka",VLOOKUP(E41,'řádky V'!A:M,2,0)))))</f>
        <v>Nedokončený dlouhodobý nehmotný majetek</v>
      </c>
      <c r="N41" s="1" t="str">
        <f>IF(ISBLANK(J41),"není alternativa",IF(J41="-","není ve výkazech",VLOOKUP(J41,'řádky R'!$A:$B,2,0)))</f>
        <v>není alternativa</v>
      </c>
      <c r="O41" s="19" t="s">
        <v>292</v>
      </c>
    </row>
    <row r="42" spans="1:15" x14ac:dyDescent="0.2">
      <c r="A42" s="18">
        <v>94</v>
      </c>
      <c r="B42" s="19" t="s">
        <v>40</v>
      </c>
      <c r="C42" s="19" t="s">
        <v>468</v>
      </c>
      <c r="D42" s="19" t="s">
        <v>333</v>
      </c>
      <c r="E42" s="37">
        <v>20</v>
      </c>
      <c r="F42" s="21" t="s">
        <v>275</v>
      </c>
      <c r="G42" s="21" t="s">
        <v>286</v>
      </c>
      <c r="H42" s="21" t="s">
        <v>283</v>
      </c>
      <c r="I42" s="1" t="str">
        <f>IF(ISBLANK(E42),"ručně doplnit",IF(E42="-","není ve výkazech",IF(C42="Rozvaha",VLOOKUP(E42,'řádky R'!$A:$B,2,0),IF(C42="Výsledovka",VLOOKUP(E42,'řádky V'!A:M,2,0)))))</f>
        <v>Nedokončený dlouhodobý hmotný majetek</v>
      </c>
      <c r="N42" s="1" t="str">
        <f>IF(ISBLANK(J42),"není alternativa",IF(J42="-","není ve výkazech",VLOOKUP(J42,'řádky R'!$A:$B,2,0)))</f>
        <v>není alternativa</v>
      </c>
      <c r="O42" s="19" t="s">
        <v>292</v>
      </c>
    </row>
    <row r="43" spans="1:15" x14ac:dyDescent="0.2">
      <c r="A43" s="18">
        <v>95</v>
      </c>
      <c r="B43" s="19" t="s">
        <v>41</v>
      </c>
      <c r="C43" s="19" t="s">
        <v>468</v>
      </c>
      <c r="D43" s="19" t="s">
        <v>333</v>
      </c>
      <c r="E43" s="37"/>
      <c r="F43" s="21" t="s">
        <v>275</v>
      </c>
      <c r="G43" s="21"/>
      <c r="H43" s="21"/>
      <c r="I43" s="1" t="str">
        <f>IF(ISBLANK(E43),"ručně doplnit",IF(E43="-","není ve výkazech",IF(C43="Rozvaha",VLOOKUP(E43,'řádky R'!$A:$B,2,0),IF(C43="Výsledovka",VLOOKUP(E43,'řádky V'!A:M,2,0)))))</f>
        <v>ručně doplnit</v>
      </c>
      <c r="N43" s="1" t="str">
        <f>IF(ISBLANK(J43),"není alternativa",IF(J43="-","není ve výkazech",VLOOKUP(J43,'řádky R'!$A:$B,2,0)))</f>
        <v>není alternativa</v>
      </c>
      <c r="O43" s="19" t="s">
        <v>292</v>
      </c>
    </row>
    <row r="44" spans="1:15" x14ac:dyDescent="0.2">
      <c r="A44" s="18">
        <v>96</v>
      </c>
      <c r="B44" s="19" t="s">
        <v>42</v>
      </c>
      <c r="C44" s="19" t="s">
        <v>468</v>
      </c>
      <c r="D44" s="19" t="s">
        <v>333</v>
      </c>
      <c r="E44" s="37"/>
      <c r="F44" s="21" t="s">
        <v>275</v>
      </c>
      <c r="G44" s="21" t="s">
        <v>291</v>
      </c>
      <c r="H44" s="21"/>
      <c r="I44" s="1" t="str">
        <f>IF(ISBLANK(E44),"ručně doplnit",IF(E44="-","není ve výkazech",IF(C44="Rozvaha",VLOOKUP(E44,'řádky R'!$A:$B,2,0),IF(C44="Výsledovka",VLOOKUP(E44,'řádky V'!A:M,2,0)))))</f>
        <v>ručně doplnit</v>
      </c>
      <c r="N44" s="1" t="str">
        <f>IF(ISBLANK(J44),"není alternativa",IF(J44="-","není ve výkazech",VLOOKUP(J44,'řádky R'!$A:$B,2,0)))</f>
        <v>není alternativa</v>
      </c>
      <c r="O44" s="19" t="s">
        <v>292</v>
      </c>
    </row>
    <row r="45" spans="1:15" x14ac:dyDescent="0.2">
      <c r="A45" s="18">
        <v>97</v>
      </c>
      <c r="B45" s="19" t="s">
        <v>43</v>
      </c>
      <c r="C45" s="19" t="s">
        <v>468</v>
      </c>
      <c r="D45" s="19" t="s">
        <v>333</v>
      </c>
      <c r="E45" s="36">
        <v>22</v>
      </c>
      <c r="F45" s="19" t="s">
        <v>275</v>
      </c>
      <c r="G45" s="19" t="s">
        <v>286</v>
      </c>
      <c r="H45" s="19" t="s">
        <v>287</v>
      </c>
      <c r="I45" s="1" t="str">
        <f>IF(ISBLANK(E45),"ručně doplnit",IF(E45="-","není ve výkazech",IF(C45="Rozvaha",VLOOKUP(E45,'řádky R'!$A:$B,2,0),IF(C45="Výsledovka",VLOOKUP(E45,'řádky V'!A:M,2,0)))))</f>
        <v>Oceňovací rozdíl k nabytému majetku</v>
      </c>
      <c r="N45" s="1" t="str">
        <f>IF(ISBLANK(J45),"není alternativa",IF(J45="-","není ve výkazech",VLOOKUP(J45,'řádky R'!$A:$B,2,0)))</f>
        <v>není alternativa</v>
      </c>
      <c r="O45" s="19" t="s">
        <v>290</v>
      </c>
    </row>
    <row r="46" spans="1:15" x14ac:dyDescent="0.2">
      <c r="A46" s="18">
        <v>98</v>
      </c>
      <c r="B46" s="19" t="s">
        <v>44</v>
      </c>
      <c r="C46" s="19" t="s">
        <v>468</v>
      </c>
      <c r="D46" s="19" t="s">
        <v>333</v>
      </c>
      <c r="E46" s="36">
        <v>22</v>
      </c>
      <c r="F46" s="19" t="s">
        <v>275</v>
      </c>
      <c r="G46" s="19" t="s">
        <v>286</v>
      </c>
      <c r="H46" s="19" t="s">
        <v>287</v>
      </c>
      <c r="I46" s="1" t="str">
        <f>IF(ISBLANK(E46),"ručně doplnit",IF(E46="-","není ve výkazech",IF(C46="Rozvaha",VLOOKUP(E46,'řádky R'!$A:$B,2,0),IF(C46="Výsledovka",VLOOKUP(E46,'řádky V'!A:M,2,0)))))</f>
        <v>Oceňovací rozdíl k nabytému majetku</v>
      </c>
      <c r="N46" s="1" t="str">
        <f>IF(ISBLANK(J46),"není alternativa",IF(J46="-","není ve výkazech",VLOOKUP(J46,'řádky R'!$A:$B,2,0)))</f>
        <v>není alternativa</v>
      </c>
      <c r="O46" s="19" t="s">
        <v>292</v>
      </c>
    </row>
    <row r="47" spans="1:15" x14ac:dyDescent="0.2">
      <c r="A47" s="18">
        <v>111</v>
      </c>
      <c r="B47" s="19" t="s">
        <v>45</v>
      </c>
      <c r="C47" s="19" t="s">
        <v>468</v>
      </c>
      <c r="D47" s="19" t="s">
        <v>333</v>
      </c>
      <c r="E47" s="36">
        <v>33</v>
      </c>
      <c r="F47" s="19" t="s">
        <v>309</v>
      </c>
      <c r="G47" s="19" t="s">
        <v>276</v>
      </c>
      <c r="H47" s="19" t="s">
        <v>277</v>
      </c>
      <c r="I47" s="1" t="str">
        <f>IF(ISBLANK(E47),"ručně doplnit",IF(E47="-","není ve výkazech",IF(C47="Rozvaha",VLOOKUP(E47,'řádky R'!$A:$B,2,0),IF(C47="Výsledovka",VLOOKUP(E47,'řádky V'!A:M,2,0)))))</f>
        <v>Materiál</v>
      </c>
      <c r="N47" s="1" t="str">
        <f>IF(ISBLANK(J47),"není alternativa",IF(J47="-","není ve výkazech",VLOOKUP(J47,'řádky R'!$A:$B,2,0)))</f>
        <v>není alternativa</v>
      </c>
      <c r="O47" s="19" t="s">
        <v>290</v>
      </c>
    </row>
    <row r="48" spans="1:15" x14ac:dyDescent="0.2">
      <c r="A48" s="18">
        <v>112</v>
      </c>
      <c r="B48" s="19" t="s">
        <v>46</v>
      </c>
      <c r="C48" s="19" t="s">
        <v>468</v>
      </c>
      <c r="D48" s="19" t="s">
        <v>333</v>
      </c>
      <c r="E48" s="36">
        <v>33</v>
      </c>
      <c r="F48" s="19" t="s">
        <v>309</v>
      </c>
      <c r="G48" s="19" t="s">
        <v>276</v>
      </c>
      <c r="H48" s="19" t="s">
        <v>277</v>
      </c>
      <c r="I48" s="1" t="str">
        <f>IF(ISBLANK(E48),"ručně doplnit",IF(E48="-","není ve výkazech",IF(C48="Rozvaha",VLOOKUP(E48,'řádky R'!$A:$B,2,0),IF(C48="Výsledovka",VLOOKUP(E48,'řádky V'!A:M,2,0)))))</f>
        <v>Materiál</v>
      </c>
      <c r="N48" s="1" t="str">
        <f>IF(ISBLANK(J48),"není alternativa",IF(J48="-","není ve výkazech",VLOOKUP(J48,'řádky R'!$A:$B,2,0)))</f>
        <v>není alternativa</v>
      </c>
      <c r="O48" s="19" t="s">
        <v>290</v>
      </c>
    </row>
    <row r="49" spans="1:15" x14ac:dyDescent="0.2">
      <c r="A49" s="18">
        <v>119</v>
      </c>
      <c r="B49" s="19" t="s">
        <v>47</v>
      </c>
      <c r="C49" s="19" t="s">
        <v>468</v>
      </c>
      <c r="D49" s="19" t="s">
        <v>333</v>
      </c>
      <c r="E49" s="36">
        <v>33</v>
      </c>
      <c r="F49" s="19" t="s">
        <v>309</v>
      </c>
      <c r="G49" s="19" t="s">
        <v>276</v>
      </c>
      <c r="H49" s="19" t="s">
        <v>277</v>
      </c>
      <c r="I49" s="1" t="str">
        <f>IF(ISBLANK(E49),"ručně doplnit",IF(E49="-","není ve výkazech",IF(C49="Rozvaha",VLOOKUP(E49,'řádky R'!$A:$B,2,0),IF(C49="Výsledovka",VLOOKUP(E49,'řádky V'!A:M,2,0)))))</f>
        <v>Materiál</v>
      </c>
      <c r="N49" s="1" t="str">
        <f>IF(ISBLANK(J49),"není alternativa",IF(J49="-","není ve výkazech",VLOOKUP(J49,'řádky R'!$A:$B,2,0)))</f>
        <v>není alternativa</v>
      </c>
      <c r="O49" s="19" t="s">
        <v>290</v>
      </c>
    </row>
    <row r="50" spans="1:15" x14ac:dyDescent="0.2">
      <c r="A50" s="18">
        <v>121</v>
      </c>
      <c r="B50" s="19" t="s">
        <v>48</v>
      </c>
      <c r="C50" s="19" t="s">
        <v>468</v>
      </c>
      <c r="D50" s="19" t="s">
        <v>333</v>
      </c>
      <c r="E50" s="36">
        <v>34</v>
      </c>
      <c r="F50" s="19" t="s">
        <v>309</v>
      </c>
      <c r="G50" s="19" t="s">
        <v>276</v>
      </c>
      <c r="H50" s="19" t="s">
        <v>278</v>
      </c>
      <c r="I50" s="1" t="str">
        <f>IF(ISBLANK(E50),"ručně doplnit",IF(E50="-","není ve výkazech",IF(C50="Rozvaha",VLOOKUP(E50,'řádky R'!$A:$B,2,0),IF(C50="Výsledovka",VLOOKUP(E50,'řádky V'!A:M,2,0)))))</f>
        <v>Nedokončená výroba a polotovary</v>
      </c>
      <c r="N50" s="1" t="str">
        <f>IF(ISBLANK(J50),"není alternativa",IF(J50="-","není ve výkazech",VLOOKUP(J50,'řádky R'!$A:$B,2,0)))</f>
        <v>není alternativa</v>
      </c>
      <c r="O50" s="19" t="s">
        <v>290</v>
      </c>
    </row>
    <row r="51" spans="1:15" x14ac:dyDescent="0.2">
      <c r="A51" s="18">
        <v>122</v>
      </c>
      <c r="B51" s="19" t="s">
        <v>49</v>
      </c>
      <c r="C51" s="19" t="s">
        <v>468</v>
      </c>
      <c r="D51" s="19" t="s">
        <v>333</v>
      </c>
      <c r="E51" s="36">
        <v>34</v>
      </c>
      <c r="F51" s="19" t="s">
        <v>309</v>
      </c>
      <c r="G51" s="19" t="s">
        <v>276</v>
      </c>
      <c r="H51" s="19" t="s">
        <v>278</v>
      </c>
      <c r="I51" s="1" t="str">
        <f>IF(ISBLANK(E51),"ručně doplnit",IF(E51="-","není ve výkazech",IF(C51="Rozvaha",VLOOKUP(E51,'řádky R'!$A:$B,2,0),IF(C51="Výsledovka",VLOOKUP(E51,'řádky V'!A:M,2,0)))))</f>
        <v>Nedokončená výroba a polotovary</v>
      </c>
      <c r="N51" s="1" t="str">
        <f>IF(ISBLANK(J51),"není alternativa",IF(J51="-","není ve výkazech",VLOOKUP(J51,'řádky R'!$A:$B,2,0)))</f>
        <v>není alternativa</v>
      </c>
      <c r="O51" s="19" t="s">
        <v>290</v>
      </c>
    </row>
    <row r="52" spans="1:15" x14ac:dyDescent="0.2">
      <c r="A52" s="18">
        <v>123</v>
      </c>
      <c r="B52" s="19" t="s">
        <v>50</v>
      </c>
      <c r="C52" s="19" t="s">
        <v>468</v>
      </c>
      <c r="D52" s="19" t="s">
        <v>333</v>
      </c>
      <c r="E52" s="36">
        <v>35</v>
      </c>
      <c r="F52" s="19" t="s">
        <v>309</v>
      </c>
      <c r="G52" s="19" t="s">
        <v>276</v>
      </c>
      <c r="H52" s="19" t="s">
        <v>279</v>
      </c>
      <c r="I52" s="1" t="str">
        <f>IF(ISBLANK(E52),"ručně doplnit",IF(E52="-","není ve výkazech",IF(C52="Rozvaha",VLOOKUP(E52,'řádky R'!$A:$B,2,0),IF(C52="Výsledovka",VLOOKUP(E52,'řádky V'!A:M,2,0)))))</f>
        <v>Výrobky</v>
      </c>
      <c r="N52" s="1" t="str">
        <f>IF(ISBLANK(J52),"není alternativa",IF(J52="-","není ve výkazech",VLOOKUP(J52,'řádky R'!$A:$B,2,0)))</f>
        <v>není alternativa</v>
      </c>
      <c r="O52" s="19" t="s">
        <v>290</v>
      </c>
    </row>
    <row r="53" spans="1:15" x14ac:dyDescent="0.2">
      <c r="A53" s="18">
        <v>124</v>
      </c>
      <c r="B53" s="19" t="s">
        <v>51</v>
      </c>
      <c r="C53" s="19" t="s">
        <v>468</v>
      </c>
      <c r="D53" s="19" t="s">
        <v>333</v>
      </c>
      <c r="E53" s="36">
        <v>36</v>
      </c>
      <c r="F53" s="19" t="s">
        <v>309</v>
      </c>
      <c r="G53" s="19" t="s">
        <v>276</v>
      </c>
      <c r="H53" s="19" t="s">
        <v>280</v>
      </c>
      <c r="I53" s="1" t="str">
        <f>IF(ISBLANK(E53),"ručně doplnit",IF(E53="-","není ve výkazech",IF(C53="Rozvaha",VLOOKUP(E53,'řádky R'!$A:$B,2,0),IF(C53="Výsledovka",VLOOKUP(E53,'řádky V'!A:M,2,0)))))</f>
        <v>Mladá a ostatní zvířata a jejich skupiny</v>
      </c>
      <c r="N53" s="1" t="str">
        <f>IF(ISBLANK(J53),"není alternativa",IF(J53="-","není ve výkazech",VLOOKUP(J53,'řádky R'!$A:$B,2,0)))</f>
        <v>není alternativa</v>
      </c>
      <c r="O53" s="19" t="s">
        <v>290</v>
      </c>
    </row>
    <row r="54" spans="1:15" x14ac:dyDescent="0.2">
      <c r="A54" s="18">
        <v>131</v>
      </c>
      <c r="B54" s="19" t="s">
        <v>52</v>
      </c>
      <c r="C54" s="19" t="s">
        <v>468</v>
      </c>
      <c r="D54" s="19" t="s">
        <v>333</v>
      </c>
      <c r="E54" s="36">
        <v>37</v>
      </c>
      <c r="F54" s="19" t="s">
        <v>309</v>
      </c>
      <c r="G54" s="19" t="s">
        <v>276</v>
      </c>
      <c r="H54" s="19" t="s">
        <v>281</v>
      </c>
      <c r="I54" s="1" t="str">
        <f>IF(ISBLANK(E54),"ručně doplnit",IF(E54="-","není ve výkazech",IF(C54="Rozvaha",VLOOKUP(E54,'řádky R'!$A:$B,2,0),IF(C54="Výsledovka",VLOOKUP(E54,'řádky V'!A:M,2,0)))))</f>
        <v>Zboží</v>
      </c>
      <c r="N54" s="1" t="str">
        <f>IF(ISBLANK(J54),"není alternativa",IF(J54="-","není ve výkazech",VLOOKUP(J54,'řádky R'!$A:$B,2,0)))</f>
        <v>není alternativa</v>
      </c>
      <c r="O54" s="19" t="s">
        <v>328</v>
      </c>
    </row>
    <row r="55" spans="1:15" x14ac:dyDescent="0.2">
      <c r="A55" s="18">
        <v>132</v>
      </c>
      <c r="B55" s="19" t="s">
        <v>53</v>
      </c>
      <c r="C55" s="19" t="s">
        <v>468</v>
      </c>
      <c r="D55" s="19" t="s">
        <v>333</v>
      </c>
      <c r="E55" s="36">
        <v>37</v>
      </c>
      <c r="F55" s="19" t="s">
        <v>309</v>
      </c>
      <c r="G55" s="19" t="s">
        <v>276</v>
      </c>
      <c r="H55" s="19" t="s">
        <v>281</v>
      </c>
      <c r="I55" s="1" t="str">
        <f>IF(ISBLANK(E55),"ručně doplnit",IF(E55="-","není ve výkazech",IF(C55="Rozvaha",VLOOKUP(E55,'řádky R'!$A:$B,2,0),IF(C55="Výsledovka",VLOOKUP(E55,'řádky V'!A:M,2,0)))))</f>
        <v>Zboží</v>
      </c>
      <c r="N55" s="1" t="str">
        <f>IF(ISBLANK(J55),"není alternativa",IF(J55="-","není ve výkazech",VLOOKUP(J55,'řádky R'!$A:$B,2,0)))</f>
        <v>není alternativa</v>
      </c>
      <c r="O55" s="19" t="s">
        <v>290</v>
      </c>
    </row>
    <row r="56" spans="1:15" x14ac:dyDescent="0.2">
      <c r="A56" s="18">
        <v>139</v>
      </c>
      <c r="B56" s="19" t="s">
        <v>54</v>
      </c>
      <c r="C56" s="19" t="s">
        <v>468</v>
      </c>
      <c r="D56" s="19" t="s">
        <v>333</v>
      </c>
      <c r="E56" s="36">
        <v>37</v>
      </c>
      <c r="F56" s="19" t="s">
        <v>309</v>
      </c>
      <c r="G56" s="19" t="s">
        <v>276</v>
      </c>
      <c r="H56" s="19" t="s">
        <v>281</v>
      </c>
      <c r="I56" s="1" t="str">
        <f>IF(ISBLANK(E56),"ručně doplnit",IF(E56="-","není ve výkazech",IF(C56="Rozvaha",VLOOKUP(E56,'řádky R'!$A:$B,2,0),IF(C56="Výsledovka",VLOOKUP(E56,'řádky V'!A:M,2,0)))))</f>
        <v>Zboží</v>
      </c>
      <c r="N56" s="1" t="str">
        <f>IF(ISBLANK(J56),"není alternativa",IF(J56="-","není ve výkazech",VLOOKUP(J56,'řádky R'!$A:$B,2,0)))</f>
        <v>není alternativa</v>
      </c>
      <c r="O56" s="19" t="s">
        <v>290</v>
      </c>
    </row>
    <row r="57" spans="1:15" x14ac:dyDescent="0.2">
      <c r="A57" s="18">
        <v>151</v>
      </c>
      <c r="B57" s="19" t="s">
        <v>55</v>
      </c>
      <c r="C57" s="19" t="s">
        <v>468</v>
      </c>
      <c r="D57" s="19" t="s">
        <v>333</v>
      </c>
      <c r="E57" s="36">
        <v>38</v>
      </c>
      <c r="F57" s="19" t="s">
        <v>309</v>
      </c>
      <c r="G57" s="19" t="s">
        <v>276</v>
      </c>
      <c r="H57" s="19" t="s">
        <v>282</v>
      </c>
      <c r="I57" s="1" t="str">
        <f>IF(ISBLANK(E57),"ručně doplnit",IF(E57="-","není ve výkazech",IF(C57="Rozvaha",VLOOKUP(E57,'řádky R'!$A:$B,2,0),IF(C57="Výsledovka",VLOOKUP(E57,'řádky V'!A:M,2,0)))))</f>
        <v>Poskytnuté zálohy na zásoby</v>
      </c>
      <c r="N57" s="1" t="str">
        <f>IF(ISBLANK(J57),"není alternativa",IF(J57="-","není ve výkazech",VLOOKUP(J57,'řádky R'!$A:$B,2,0)))</f>
        <v>není alternativa</v>
      </c>
      <c r="O57" s="19" t="s">
        <v>290</v>
      </c>
    </row>
    <row r="58" spans="1:15" x14ac:dyDescent="0.2">
      <c r="A58" s="18">
        <v>152</v>
      </c>
      <c r="B58" s="19" t="s">
        <v>56</v>
      </c>
      <c r="C58" s="19" t="s">
        <v>468</v>
      </c>
      <c r="D58" s="19" t="s">
        <v>333</v>
      </c>
      <c r="E58" s="36">
        <v>38</v>
      </c>
      <c r="F58" s="19" t="s">
        <v>309</v>
      </c>
      <c r="G58" s="19" t="s">
        <v>276</v>
      </c>
      <c r="H58" s="19" t="s">
        <v>282</v>
      </c>
      <c r="I58" s="1" t="str">
        <f>IF(ISBLANK(E58),"ručně doplnit",IF(E58="-","není ve výkazech",IF(C58="Rozvaha",VLOOKUP(E58,'řádky R'!$A:$B,2,0),IF(C58="Výsledovka",VLOOKUP(E58,'řádky V'!A:M,2,0)))))</f>
        <v>Poskytnuté zálohy na zásoby</v>
      </c>
      <c r="N58" s="1" t="str">
        <f>IF(ISBLANK(J58),"není alternativa",IF(J58="-","není ve výkazech",VLOOKUP(J58,'řádky R'!$A:$B,2,0)))</f>
        <v>není alternativa</v>
      </c>
      <c r="O58" s="19" t="s">
        <v>290</v>
      </c>
    </row>
    <row r="59" spans="1:15" x14ac:dyDescent="0.2">
      <c r="A59" s="18">
        <v>153</v>
      </c>
      <c r="B59" s="19" t="s">
        <v>57</v>
      </c>
      <c r="C59" s="19" t="s">
        <v>468</v>
      </c>
      <c r="D59" s="19" t="s">
        <v>333</v>
      </c>
      <c r="E59" s="36">
        <v>38</v>
      </c>
      <c r="F59" s="19" t="s">
        <v>309</v>
      </c>
      <c r="G59" s="19" t="s">
        <v>276</v>
      </c>
      <c r="H59" s="19" t="s">
        <v>282</v>
      </c>
      <c r="I59" s="1" t="str">
        <f>IF(ISBLANK(E59),"ručně doplnit",IF(E59="-","není ve výkazech",IF(C59="Rozvaha",VLOOKUP(E59,'řádky R'!$A:$B,2,0),IF(C59="Výsledovka",VLOOKUP(E59,'řádky V'!A:M,2,0)))))</f>
        <v>Poskytnuté zálohy na zásoby</v>
      </c>
      <c r="N59" s="1" t="str">
        <f>IF(ISBLANK(J59),"není alternativa",IF(J59="-","není ve výkazech",VLOOKUP(J59,'řádky R'!$A:$B,2,0)))</f>
        <v>není alternativa</v>
      </c>
      <c r="O59" s="19" t="s">
        <v>290</v>
      </c>
    </row>
    <row r="60" spans="1:15" x14ac:dyDescent="0.2">
      <c r="A60" s="18">
        <v>191</v>
      </c>
      <c r="B60" s="19" t="s">
        <v>58</v>
      </c>
      <c r="C60" s="19" t="s">
        <v>468</v>
      </c>
      <c r="D60" s="19" t="s">
        <v>333</v>
      </c>
      <c r="E60" s="36">
        <v>33</v>
      </c>
      <c r="F60" s="19" t="s">
        <v>309</v>
      </c>
      <c r="G60" s="19" t="s">
        <v>276</v>
      </c>
      <c r="H60" s="19" t="s">
        <v>277</v>
      </c>
      <c r="I60" s="1" t="str">
        <f>IF(ISBLANK(E60),"ručně doplnit",IF(E60="-","není ve výkazech",IF(C60="Rozvaha",VLOOKUP(E60,'řádky R'!$A:$B,2,0),IF(C60="Výsledovka",VLOOKUP(E60,'řádky V'!A:M,2,0)))))</f>
        <v>Materiál</v>
      </c>
      <c r="N60" s="1" t="str">
        <f>IF(ISBLANK(J60),"není alternativa",IF(J60="-","není ve výkazech",VLOOKUP(J60,'řádky R'!$A:$B,2,0)))</f>
        <v>není alternativa</v>
      </c>
      <c r="O60" s="19" t="s">
        <v>292</v>
      </c>
    </row>
    <row r="61" spans="1:15" x14ac:dyDescent="0.2">
      <c r="A61" s="18">
        <v>192</v>
      </c>
      <c r="B61" s="19" t="s">
        <v>59</v>
      </c>
      <c r="C61" s="19" t="s">
        <v>468</v>
      </c>
      <c r="D61" s="19" t="s">
        <v>333</v>
      </c>
      <c r="E61" s="36">
        <v>33</v>
      </c>
      <c r="F61" s="19" t="s">
        <v>309</v>
      </c>
      <c r="G61" s="19" t="s">
        <v>276</v>
      </c>
      <c r="H61" s="19" t="s">
        <v>278</v>
      </c>
      <c r="I61" s="1" t="str">
        <f>IF(ISBLANK(E61),"ručně doplnit",IF(E61="-","není ve výkazech",IF(C61="Rozvaha",VLOOKUP(E61,'řádky R'!$A:$B,2,0),IF(C61="Výsledovka",VLOOKUP(E61,'řádky V'!A:M,2,0)))))</f>
        <v>Materiál</v>
      </c>
      <c r="N61" s="1" t="str">
        <f>IF(ISBLANK(J61),"není alternativa",IF(J61="-","není ve výkazech",VLOOKUP(J61,'řádky R'!$A:$B,2,0)))</f>
        <v>není alternativa</v>
      </c>
      <c r="O61" s="19" t="s">
        <v>292</v>
      </c>
    </row>
    <row r="62" spans="1:15" x14ac:dyDescent="0.2">
      <c r="A62" s="18">
        <v>193</v>
      </c>
      <c r="B62" s="19" t="s">
        <v>60</v>
      </c>
      <c r="C62" s="19" t="s">
        <v>468</v>
      </c>
      <c r="D62" s="19" t="s">
        <v>333</v>
      </c>
      <c r="E62" s="36">
        <v>33</v>
      </c>
      <c r="F62" s="19" t="s">
        <v>309</v>
      </c>
      <c r="G62" s="19" t="s">
        <v>276</v>
      </c>
      <c r="H62" s="19" t="s">
        <v>278</v>
      </c>
      <c r="I62" s="1" t="str">
        <f>IF(ISBLANK(E62),"ručně doplnit",IF(E62="-","není ve výkazech",IF(C62="Rozvaha",VLOOKUP(E62,'řádky R'!$A:$B,2,0),IF(C62="Výsledovka",VLOOKUP(E62,'řádky V'!A:M,2,0)))))</f>
        <v>Materiál</v>
      </c>
      <c r="N62" s="1" t="str">
        <f>IF(ISBLANK(J62),"není alternativa",IF(J62="-","není ve výkazech",VLOOKUP(J62,'řádky R'!$A:$B,2,0)))</f>
        <v>není alternativa</v>
      </c>
      <c r="O62" s="19" t="s">
        <v>292</v>
      </c>
    </row>
    <row r="63" spans="1:15" x14ac:dyDescent="0.2">
      <c r="A63" s="18">
        <v>194</v>
      </c>
      <c r="B63" s="19" t="s">
        <v>61</v>
      </c>
      <c r="C63" s="19" t="s">
        <v>468</v>
      </c>
      <c r="D63" s="19" t="s">
        <v>333</v>
      </c>
      <c r="E63" s="36">
        <v>35</v>
      </c>
      <c r="F63" s="19" t="s">
        <v>309</v>
      </c>
      <c r="G63" s="19" t="s">
        <v>276</v>
      </c>
      <c r="H63" s="19" t="s">
        <v>279</v>
      </c>
      <c r="I63" s="1" t="str">
        <f>IF(ISBLANK(E63),"ručně doplnit",IF(E63="-","není ve výkazech",IF(C63="Rozvaha",VLOOKUP(E63,'řádky R'!$A:$B,2,0),IF(C63="Výsledovka",VLOOKUP(E63,'řádky V'!A:M,2,0)))))</f>
        <v>Výrobky</v>
      </c>
      <c r="N63" s="1" t="str">
        <f>IF(ISBLANK(J63),"není alternativa",IF(J63="-","není ve výkazech",VLOOKUP(J63,'řádky R'!$A:$B,2,0)))</f>
        <v>není alternativa</v>
      </c>
      <c r="O63" s="19" t="s">
        <v>292</v>
      </c>
    </row>
    <row r="64" spans="1:15" x14ac:dyDescent="0.2">
      <c r="A64" s="18">
        <v>195</v>
      </c>
      <c r="B64" s="19" t="s">
        <v>62</v>
      </c>
      <c r="C64" s="19" t="s">
        <v>468</v>
      </c>
      <c r="D64" s="19" t="s">
        <v>333</v>
      </c>
      <c r="E64" s="36">
        <v>36</v>
      </c>
      <c r="F64" s="19" t="s">
        <v>309</v>
      </c>
      <c r="G64" s="19" t="s">
        <v>276</v>
      </c>
      <c r="H64" s="19" t="s">
        <v>280</v>
      </c>
      <c r="I64" s="1" t="str">
        <f>IF(ISBLANK(E64),"ručně doplnit",IF(E64="-","není ve výkazech",IF(C64="Rozvaha",VLOOKUP(E64,'řádky R'!$A:$B,2,0),IF(C64="Výsledovka",VLOOKUP(E64,'řádky V'!A:M,2,0)))))</f>
        <v>Mladá a ostatní zvířata a jejich skupiny</v>
      </c>
      <c r="N64" s="1" t="str">
        <f>IF(ISBLANK(J64),"není alternativa",IF(J64="-","není ve výkazech",VLOOKUP(J64,'řádky R'!$A:$B,2,0)))</f>
        <v>není alternativa</v>
      </c>
      <c r="O64" s="19" t="s">
        <v>292</v>
      </c>
    </row>
    <row r="65" spans="1:15" x14ac:dyDescent="0.2">
      <c r="A65" s="18">
        <v>196</v>
      </c>
      <c r="B65" s="19" t="s">
        <v>63</v>
      </c>
      <c r="C65" s="19" t="s">
        <v>468</v>
      </c>
      <c r="D65" s="19" t="s">
        <v>333</v>
      </c>
      <c r="E65" s="36">
        <v>37</v>
      </c>
      <c r="F65" s="19" t="s">
        <v>309</v>
      </c>
      <c r="G65" s="19" t="s">
        <v>276</v>
      </c>
      <c r="H65" s="19" t="s">
        <v>281</v>
      </c>
      <c r="I65" s="1" t="str">
        <f>IF(ISBLANK(E65),"ručně doplnit",IF(E65="-","není ve výkazech",IF(C65="Rozvaha",VLOOKUP(E65,'řádky R'!$A:$B,2,0),IF(C65="Výsledovka",VLOOKUP(E65,'řádky V'!A:M,2,0)))))</f>
        <v>Zboží</v>
      </c>
      <c r="N65" s="1" t="str">
        <f>IF(ISBLANK(J65),"není alternativa",IF(J65="-","není ve výkazech",VLOOKUP(J65,'řádky R'!$A:$B,2,0)))</f>
        <v>není alternativa</v>
      </c>
      <c r="O65" s="19" t="s">
        <v>292</v>
      </c>
    </row>
    <row r="66" spans="1:15" x14ac:dyDescent="0.2">
      <c r="A66" s="18">
        <v>197</v>
      </c>
      <c r="B66" s="19" t="s">
        <v>64</v>
      </c>
      <c r="C66" s="19" t="s">
        <v>468</v>
      </c>
      <c r="D66" s="19" t="s">
        <v>333</v>
      </c>
      <c r="E66" s="36">
        <v>38</v>
      </c>
      <c r="F66" s="19" t="s">
        <v>309</v>
      </c>
      <c r="G66" s="19" t="s">
        <v>276</v>
      </c>
      <c r="H66" s="19" t="s">
        <v>282</v>
      </c>
      <c r="I66" s="1" t="str">
        <f>IF(ISBLANK(E66),"ručně doplnit",IF(E66="-","není ve výkazech",IF(C66="Rozvaha",VLOOKUP(E66,'řádky R'!$A:$B,2,0),IF(C66="Výsledovka",VLOOKUP(E66,'řádky V'!A:M,2,0)))))</f>
        <v>Poskytnuté zálohy na zásoby</v>
      </c>
      <c r="N66" s="1" t="str">
        <f>IF(ISBLANK(J66),"není alternativa",IF(J66="-","není ve výkazech",VLOOKUP(J66,'řádky R'!$A:$B,2,0)))</f>
        <v>není alternativa</v>
      </c>
      <c r="O66" s="19" t="s">
        <v>292</v>
      </c>
    </row>
    <row r="67" spans="1:15" x14ac:dyDescent="0.2">
      <c r="A67" s="18">
        <v>198</v>
      </c>
      <c r="B67" s="19" t="s">
        <v>65</v>
      </c>
      <c r="C67" s="19" t="s">
        <v>468</v>
      </c>
      <c r="D67" s="19" t="s">
        <v>333</v>
      </c>
      <c r="E67" s="36">
        <v>38</v>
      </c>
      <c r="F67" s="19" t="s">
        <v>309</v>
      </c>
      <c r="G67" s="19" t="s">
        <v>276</v>
      </c>
      <c r="H67" s="19" t="s">
        <v>282</v>
      </c>
      <c r="I67" s="1" t="str">
        <f>IF(ISBLANK(E67),"ručně doplnit",IF(E67="-","není ve výkazech",IF(C67="Rozvaha",VLOOKUP(E67,'řádky R'!$A:$B,2,0),IF(C67="Výsledovka",VLOOKUP(E67,'řádky V'!A:M,2,0)))))</f>
        <v>Poskytnuté zálohy na zásoby</v>
      </c>
      <c r="N67" s="1" t="str">
        <f>IF(ISBLANK(J67),"není alternativa",IF(J67="-","není ve výkazech",VLOOKUP(J67,'řádky R'!$A:$B,2,0)))</f>
        <v>není alternativa</v>
      </c>
      <c r="O67" s="19" t="s">
        <v>292</v>
      </c>
    </row>
    <row r="68" spans="1:15" x14ac:dyDescent="0.2">
      <c r="A68" s="18">
        <v>199</v>
      </c>
      <c r="B68" s="19" t="s">
        <v>66</v>
      </c>
      <c r="C68" s="19" t="s">
        <v>468</v>
      </c>
      <c r="D68" s="19" t="s">
        <v>333</v>
      </c>
      <c r="E68" s="36">
        <v>38</v>
      </c>
      <c r="F68" s="19" t="s">
        <v>309</v>
      </c>
      <c r="G68" s="19" t="s">
        <v>276</v>
      </c>
      <c r="H68" s="19" t="s">
        <v>282</v>
      </c>
      <c r="I68" s="1" t="str">
        <f>IF(ISBLANK(E68),"ručně doplnit",IF(E68="-","není ve výkazech",IF(C68="Rozvaha",VLOOKUP(E68,'řádky R'!$A:$B,2,0),IF(C68="Výsledovka",VLOOKUP(E68,'řádky V'!A:M,2,0)))))</f>
        <v>Poskytnuté zálohy na zásoby</v>
      </c>
      <c r="N68" s="1" t="str">
        <f>IF(ISBLANK(J68),"není alternativa",IF(J68="-","není ve výkazech",VLOOKUP(J68,'řádky R'!$A:$B,2,0)))</f>
        <v>není alternativa</v>
      </c>
      <c r="O68" s="19" t="s">
        <v>292</v>
      </c>
    </row>
    <row r="69" spans="1:15" x14ac:dyDescent="0.2">
      <c r="A69" s="18">
        <v>211</v>
      </c>
      <c r="B69" s="19" t="s">
        <v>68</v>
      </c>
      <c r="C69" s="19" t="s">
        <v>468</v>
      </c>
      <c r="D69" s="19" t="s">
        <v>333</v>
      </c>
      <c r="E69" s="36">
        <v>59</v>
      </c>
      <c r="F69" s="19" t="s">
        <v>309</v>
      </c>
      <c r="G69" s="19" t="s">
        <v>322</v>
      </c>
      <c r="H69" s="19" t="s">
        <v>277</v>
      </c>
      <c r="I69" s="1" t="str">
        <f>IF(ISBLANK(E69),"ručně doplnit",IF(E69="-","není ve výkazech",IF(C69="Rozvaha",VLOOKUP(E69,'řádky R'!$A:$B,2,0),IF(C69="Výsledovka",VLOOKUP(E69,'řádky V'!A:M,2,0)))))</f>
        <v>Peníze</v>
      </c>
      <c r="N69" s="1" t="str">
        <f>IF(ISBLANK(J69),"není alternativa",IF(J69="-","není ve výkazech",VLOOKUP(J69,'řádky R'!$A:$B,2,0)))</f>
        <v>není alternativa</v>
      </c>
      <c r="O69" s="19" t="s">
        <v>290</v>
      </c>
    </row>
    <row r="70" spans="1:15" x14ac:dyDescent="0.2">
      <c r="A70" s="18">
        <v>213</v>
      </c>
      <c r="B70" s="19" t="s">
        <v>69</v>
      </c>
      <c r="C70" s="19" t="s">
        <v>468</v>
      </c>
      <c r="D70" s="19" t="s">
        <v>333</v>
      </c>
      <c r="E70" s="36">
        <v>59</v>
      </c>
      <c r="F70" s="19" t="s">
        <v>309</v>
      </c>
      <c r="G70" s="19" t="s">
        <v>322</v>
      </c>
      <c r="H70" s="19" t="s">
        <v>277</v>
      </c>
      <c r="I70" s="1" t="str">
        <f>IF(ISBLANK(E70),"ručně doplnit",IF(E70="-","není ve výkazech",IF(C70="Rozvaha",VLOOKUP(E70,'řádky R'!$A:$B,2,0),IF(C70="Výsledovka",VLOOKUP(E70,'řádky V'!A:M,2,0)))))</f>
        <v>Peníze</v>
      </c>
      <c r="N70" s="1" t="str">
        <f>IF(ISBLANK(J70),"není alternativa",IF(J70="-","není ve výkazech",VLOOKUP(J70,'řádky R'!$A:$B,2,0)))</f>
        <v>není alternativa</v>
      </c>
      <c r="O70" s="19" t="s">
        <v>290</v>
      </c>
    </row>
    <row r="71" spans="1:15" x14ac:dyDescent="0.2">
      <c r="A71" s="18">
        <v>221</v>
      </c>
      <c r="B71" s="19" t="s">
        <v>70</v>
      </c>
      <c r="C71" s="19" t="s">
        <v>468</v>
      </c>
      <c r="D71" s="19" t="s">
        <v>406</v>
      </c>
      <c r="E71" s="37">
        <v>60</v>
      </c>
      <c r="F71" s="19" t="s">
        <v>309</v>
      </c>
      <c r="G71" s="19" t="s">
        <v>322</v>
      </c>
      <c r="H71" s="19" t="s">
        <v>278</v>
      </c>
      <c r="I71" s="1" t="str">
        <f>IF(ISBLANK(E71),"ručně doplnit",IF(E71="-","není ve výkazech",IF(C71="Rozvaha",VLOOKUP(E71,'řádky R'!$A:$B,2,0),IF(C71="Výsledovka",VLOOKUP(E71,'řádky V'!A:M,2,0)))))</f>
        <v>Účty v bankách</v>
      </c>
      <c r="J71" s="31">
        <v>119</v>
      </c>
      <c r="K71" s="21" t="s">
        <v>275</v>
      </c>
      <c r="L71" s="21" t="s">
        <v>322</v>
      </c>
      <c r="M71" s="21" t="s">
        <v>278</v>
      </c>
      <c r="N71" s="1" t="str">
        <f>IF(ISBLANK(J71),"není alternativa",IF(J71="-","není ve výkazech",VLOOKUP(J71,'řádky R'!$A:$B,2,0)))</f>
        <v xml:space="preserve">Krátkodobé bankovní úvěry </v>
      </c>
      <c r="O71" s="19" t="s">
        <v>290</v>
      </c>
    </row>
    <row r="72" spans="1:15" x14ac:dyDescent="0.2">
      <c r="A72" s="18">
        <v>231</v>
      </c>
      <c r="B72" s="19" t="s">
        <v>71</v>
      </c>
      <c r="C72" s="19" t="s">
        <v>468</v>
      </c>
      <c r="D72" s="19" t="s">
        <v>360</v>
      </c>
      <c r="E72" s="37">
        <v>119</v>
      </c>
      <c r="F72" s="19" t="s">
        <v>275</v>
      </c>
      <c r="G72" s="19" t="s">
        <v>322</v>
      </c>
      <c r="H72" s="19" t="s">
        <v>278</v>
      </c>
      <c r="I72" s="1" t="str">
        <f>IF(ISBLANK(E72),"ručně doplnit",IF(E72="-","není ve výkazech",IF(C72="Rozvaha",VLOOKUP(E72,'řádky R'!$A:$B,2,0),IF(C72="Výsledovka",VLOOKUP(E72,'řádky V'!A:M,2,0)))))</f>
        <v xml:space="preserve">Krátkodobé bankovní úvěry </v>
      </c>
      <c r="N72" s="1" t="str">
        <f>IF(ISBLANK(J72),"není alternativa",IF(J72="-","není ve výkazech",VLOOKUP(J72,'řádky R'!$A:$B,2,0)))</f>
        <v>není alternativa</v>
      </c>
      <c r="O72" s="19" t="s">
        <v>290</v>
      </c>
    </row>
    <row r="73" spans="1:15" x14ac:dyDescent="0.2">
      <c r="A73" s="18">
        <v>232</v>
      </c>
      <c r="B73" s="19" t="s">
        <v>72</v>
      </c>
      <c r="C73" s="19" t="s">
        <v>468</v>
      </c>
      <c r="D73" s="19" t="s">
        <v>360</v>
      </c>
      <c r="E73" s="37">
        <v>119</v>
      </c>
      <c r="F73" s="19" t="s">
        <v>275</v>
      </c>
      <c r="G73" s="19" t="s">
        <v>322</v>
      </c>
      <c r="H73" s="19" t="s">
        <v>278</v>
      </c>
      <c r="I73" s="1" t="str">
        <f>IF(ISBLANK(E73),"ručně doplnit",IF(E73="-","není ve výkazech",IF(C73="Rozvaha",VLOOKUP(E73,'řádky R'!$A:$B,2,0),IF(C73="Výsledovka",VLOOKUP(E73,'řádky V'!A:M,2,0)))))</f>
        <v xml:space="preserve">Krátkodobé bankovní úvěry </v>
      </c>
      <c r="N73" s="1" t="str">
        <f>IF(ISBLANK(J73),"není alternativa",IF(J73="-","není ve výkazech",VLOOKUP(J73,'řádky R'!$A:$B,2,0)))</f>
        <v>není alternativa</v>
      </c>
      <c r="O73" s="19" t="s">
        <v>290</v>
      </c>
    </row>
    <row r="74" spans="1:15" x14ac:dyDescent="0.2">
      <c r="A74" s="18">
        <v>241</v>
      </c>
      <c r="B74" s="19" t="s">
        <v>73</v>
      </c>
      <c r="C74" s="19" t="s">
        <v>468</v>
      </c>
      <c r="D74" s="19" t="s">
        <v>360</v>
      </c>
      <c r="E74" s="36">
        <v>114</v>
      </c>
      <c r="F74" s="19" t="s">
        <v>275</v>
      </c>
      <c r="G74" s="19" t="s">
        <v>291</v>
      </c>
      <c r="H74" s="19" t="s">
        <v>287</v>
      </c>
      <c r="I74" s="1" t="str">
        <f>IF(ISBLANK(E74),"ručně doplnit",IF(E74="-","není ve výkazech",IF(C74="Rozvaha",VLOOKUP(E74,'řádky R'!$A:$B,2,0),IF(C74="Výsledovka",VLOOKUP(E74,'řádky V'!A:M,2,0)))))</f>
        <v>Vydané dluhopisy</v>
      </c>
      <c r="N74" s="1" t="str">
        <f>IF(ISBLANK(J74),"není alternativa",IF(J74="-","není ve výkazech",VLOOKUP(J74,'řádky R'!$A:$B,2,0)))</f>
        <v>není alternativa</v>
      </c>
      <c r="O74" s="19" t="s">
        <v>290</v>
      </c>
    </row>
    <row r="75" spans="1:15" x14ac:dyDescent="0.2">
      <c r="A75" s="18">
        <v>249</v>
      </c>
      <c r="B75" s="19" t="s">
        <v>74</v>
      </c>
      <c r="C75" s="19" t="s">
        <v>468</v>
      </c>
      <c r="D75" s="19" t="s">
        <v>360</v>
      </c>
      <c r="E75" s="36">
        <v>120</v>
      </c>
      <c r="F75" s="19" t="s">
        <v>275</v>
      </c>
      <c r="G75" s="19" t="s">
        <v>322</v>
      </c>
      <c r="H75" s="19" t="s">
        <v>279</v>
      </c>
      <c r="I75" s="1" t="str">
        <f>IF(ISBLANK(E75),"ručně doplnit",IF(E75="-","není ve výkazech",IF(C75="Rozvaha",VLOOKUP(E75,'řádky R'!$A:$B,2,0),IF(C75="Výsledovka",VLOOKUP(E75,'řádky V'!A:M,2,0)))))</f>
        <v>Krátkodobé finanční výpomoci</v>
      </c>
      <c r="N75" s="1" t="str">
        <f>IF(ISBLANK(J75),"není alternativa",IF(J75="-","není ve výkazech",VLOOKUP(J75,'řádky R'!$A:$B,2,0)))</f>
        <v>není alternativa</v>
      </c>
      <c r="O75" s="19" t="s">
        <v>290</v>
      </c>
    </row>
    <row r="76" spans="1:15" x14ac:dyDescent="0.2">
      <c r="A76" s="18">
        <v>251</v>
      </c>
      <c r="B76" s="19" t="s">
        <v>75</v>
      </c>
      <c r="C76" s="19" t="s">
        <v>468</v>
      </c>
      <c r="D76" s="19" t="s">
        <v>333</v>
      </c>
      <c r="E76" s="36">
        <v>61</v>
      </c>
      <c r="F76" s="19" t="s">
        <v>309</v>
      </c>
      <c r="G76" s="19" t="s">
        <v>322</v>
      </c>
      <c r="H76" s="19" t="s">
        <v>279</v>
      </c>
      <c r="I76" s="1" t="str">
        <f>IF(ISBLANK(E76),"ručně doplnit",IF(E76="-","není ve výkazech",IF(C76="Rozvaha",VLOOKUP(E76,'řádky R'!$A:$B,2,0),IF(C76="Výsledovka",VLOOKUP(E76,'řádky V'!A:M,2,0)))))</f>
        <v>Krátkodobé cenné papíry a podíly</v>
      </c>
      <c r="N76" s="1" t="str">
        <f>IF(ISBLANK(J76),"není alternativa",IF(J76="-","není ve výkazech",VLOOKUP(J76,'řádky R'!$A:$B,2,0)))</f>
        <v>není alternativa</v>
      </c>
      <c r="O76" s="19" t="s">
        <v>290</v>
      </c>
    </row>
    <row r="77" spans="1:15" x14ac:dyDescent="0.2">
      <c r="A77" s="18">
        <v>252</v>
      </c>
      <c r="B77" s="19" t="s">
        <v>76</v>
      </c>
      <c r="C77" s="19" t="s">
        <v>468</v>
      </c>
      <c r="D77" s="19" t="s">
        <v>360</v>
      </c>
      <c r="E77" s="36" t="s">
        <v>306</v>
      </c>
      <c r="I77" s="1" t="str">
        <f>IF(ISBLANK(E77),"ručně doplnit",IF(E77="-","není ve výkazech",IF(C77="Rozvaha",VLOOKUP(E77,'řádky R'!$A:$B,2,0),IF(C77="Výsledovka",VLOOKUP(E77,'řádky V'!A:M,2,0)))))</f>
        <v>není ve výkazech</v>
      </c>
      <c r="N77" s="1" t="str">
        <f>IF(ISBLANK(J77),"není alternativa",IF(J77="-","není ve výkazech",VLOOKUP(J77,'řádky R'!$A:$B,2,0)))</f>
        <v>není alternativa</v>
      </c>
      <c r="O77" s="19" t="s">
        <v>290</v>
      </c>
    </row>
    <row r="78" spans="1:15" x14ac:dyDescent="0.2">
      <c r="A78" s="18">
        <v>253</v>
      </c>
      <c r="B78" s="19" t="s">
        <v>77</v>
      </c>
      <c r="C78" s="19" t="s">
        <v>468</v>
      </c>
      <c r="D78" s="19" t="s">
        <v>333</v>
      </c>
      <c r="E78" s="36">
        <v>61</v>
      </c>
      <c r="F78" s="19" t="s">
        <v>309</v>
      </c>
      <c r="G78" s="19" t="s">
        <v>322</v>
      </c>
      <c r="H78" s="19" t="s">
        <v>279</v>
      </c>
      <c r="I78" s="1" t="str">
        <f>IF(ISBLANK(E78),"ručně doplnit",IF(E78="-","není ve výkazech",IF(C78="Rozvaha",VLOOKUP(E78,'řádky R'!$A:$B,2,0),IF(C78="Výsledovka",VLOOKUP(E78,'řádky V'!A:M,2,0)))))</f>
        <v>Krátkodobé cenné papíry a podíly</v>
      </c>
      <c r="N78" s="1" t="str">
        <f>IF(ISBLANK(J78),"není alternativa",IF(J78="-","není ve výkazech",VLOOKUP(J78,'řádky R'!$A:$B,2,0)))</f>
        <v>není alternativa</v>
      </c>
      <c r="O78" s="19" t="s">
        <v>290</v>
      </c>
    </row>
    <row r="79" spans="1:15" x14ac:dyDescent="0.2">
      <c r="A79" s="18">
        <v>255</v>
      </c>
      <c r="B79" s="19" t="s">
        <v>78</v>
      </c>
      <c r="C79" s="19" t="s">
        <v>468</v>
      </c>
      <c r="D79" s="19" t="s">
        <v>360</v>
      </c>
      <c r="E79" s="36" t="s">
        <v>306</v>
      </c>
      <c r="I79" s="1" t="str">
        <f>IF(ISBLANK(E79),"ručně doplnit",IF(E79="-","není ve výkazech",IF(C79="Rozvaha",VLOOKUP(E79,'řádky R'!$A:$B,2,0),IF(C79="Výsledovka",VLOOKUP(E79,'řádky V'!A:M,2,0)))))</f>
        <v>není ve výkazech</v>
      </c>
      <c r="N79" s="1" t="str">
        <f>IF(ISBLANK(J79),"není alternativa",IF(J79="-","není ve výkazech",VLOOKUP(J79,'řádky R'!$A:$B,2,0)))</f>
        <v>není alternativa</v>
      </c>
      <c r="O79" s="19" t="s">
        <v>290</v>
      </c>
    </row>
    <row r="80" spans="1:15" x14ac:dyDescent="0.2">
      <c r="A80" s="18">
        <v>256</v>
      </c>
      <c r="B80" s="19" t="s">
        <v>79</v>
      </c>
      <c r="C80" s="19" t="s">
        <v>468</v>
      </c>
      <c r="D80" s="19" t="s">
        <v>333</v>
      </c>
      <c r="E80" s="36">
        <v>61</v>
      </c>
      <c r="F80" s="19" t="s">
        <v>309</v>
      </c>
      <c r="G80" s="19" t="s">
        <v>322</v>
      </c>
      <c r="H80" s="19" t="s">
        <v>279</v>
      </c>
      <c r="I80" s="1" t="str">
        <f>IF(ISBLANK(E80),"ručně doplnit",IF(E80="-","není ve výkazech",IF(C80="Rozvaha",VLOOKUP(E80,'řádky R'!$A:$B,2,0),IF(C80="Výsledovka",VLOOKUP(E80,'řádky V'!A:M,2,0)))))</f>
        <v>Krátkodobé cenné papíry a podíly</v>
      </c>
      <c r="N80" s="1" t="str">
        <f>IF(ISBLANK(J80),"není alternativa",IF(J80="-","není ve výkazech",VLOOKUP(J80,'řádky R'!$A:$B,2,0)))</f>
        <v>není alternativa</v>
      </c>
      <c r="O80" s="19" t="s">
        <v>290</v>
      </c>
    </row>
    <row r="81" spans="1:15" x14ac:dyDescent="0.2">
      <c r="A81" s="18">
        <v>257</v>
      </c>
      <c r="B81" s="19" t="s">
        <v>80</v>
      </c>
      <c r="C81" s="19" t="s">
        <v>468</v>
      </c>
      <c r="D81" s="19" t="s">
        <v>333</v>
      </c>
      <c r="E81" s="36">
        <v>61</v>
      </c>
      <c r="F81" s="19" t="s">
        <v>309</v>
      </c>
      <c r="G81" s="19" t="s">
        <v>322</v>
      </c>
      <c r="H81" s="19" t="s">
        <v>279</v>
      </c>
      <c r="I81" s="1" t="str">
        <f>IF(ISBLANK(E81),"ručně doplnit",IF(E81="-","není ve výkazech",IF(C81="Rozvaha",VLOOKUP(E81,'řádky R'!$A:$B,2,0),IF(C81="Výsledovka",VLOOKUP(E81,'řádky V'!A:M,2,0)))))</f>
        <v>Krátkodobé cenné papíry a podíly</v>
      </c>
      <c r="N81" s="1" t="str">
        <f>IF(ISBLANK(J81),"není alternativa",IF(J81="-","není ve výkazech",VLOOKUP(J81,'řádky R'!$A:$B,2,0)))</f>
        <v>není alternativa</v>
      </c>
      <c r="O81" s="19" t="s">
        <v>290</v>
      </c>
    </row>
    <row r="82" spans="1:15" x14ac:dyDescent="0.2">
      <c r="A82" s="18">
        <v>258</v>
      </c>
      <c r="B82" s="19" t="s">
        <v>81</v>
      </c>
      <c r="C82" s="19" t="s">
        <v>468</v>
      </c>
      <c r="D82" s="19" t="s">
        <v>333</v>
      </c>
      <c r="E82" s="36" t="s">
        <v>306</v>
      </c>
      <c r="I82" s="1" t="str">
        <f>IF(ISBLANK(E82),"ručně doplnit",IF(E82="-","není ve výkazech",IF(C82="Rozvaha",VLOOKUP(E82,'řádky R'!$A:$B,2,0),IF(C82="Výsledovka",VLOOKUP(E82,'řádky V'!A:M,2,0)))))</f>
        <v>není ve výkazech</v>
      </c>
      <c r="N82" s="1" t="str">
        <f>IF(ISBLANK(J82),"není alternativa",IF(J82="-","není ve výkazech",VLOOKUP(J82,'řádky R'!$A:$B,2,0)))</f>
        <v>není alternativa</v>
      </c>
      <c r="O82" s="19" t="s">
        <v>290</v>
      </c>
    </row>
    <row r="83" spans="1:15" x14ac:dyDescent="0.2">
      <c r="A83" s="18">
        <v>259</v>
      </c>
      <c r="B83" s="19" t="s">
        <v>82</v>
      </c>
      <c r="C83" s="19" t="s">
        <v>468</v>
      </c>
      <c r="D83" s="19" t="s">
        <v>333</v>
      </c>
      <c r="E83" s="36">
        <v>62</v>
      </c>
      <c r="F83" s="19" t="s">
        <v>309</v>
      </c>
      <c r="G83" s="19" t="s">
        <v>322</v>
      </c>
      <c r="H83" s="19" t="s">
        <v>280</v>
      </c>
      <c r="I83" s="1" t="str">
        <f>IF(ISBLANK(E83),"ručně doplnit",IF(E83="-","není ve výkazech",IF(C83="Rozvaha",VLOOKUP(E83,'řádky R'!$A:$B,2,0),IF(C83="Výsledovka",VLOOKUP(E83,'řádky V'!A:M,2,0)))))</f>
        <v>Pořizovaný krátkodobý finanční majetek</v>
      </c>
      <c r="N83" s="1" t="str">
        <f>IF(ISBLANK(J83),"není alternativa",IF(J83="-","není ve výkazech",VLOOKUP(J83,'řádky R'!$A:$B,2,0)))</f>
        <v>není alternativa</v>
      </c>
      <c r="O83" s="19" t="s">
        <v>290</v>
      </c>
    </row>
    <row r="84" spans="1:15" x14ac:dyDescent="0.2">
      <c r="A84" s="18">
        <v>261</v>
      </c>
      <c r="B84" s="19" t="s">
        <v>83</v>
      </c>
      <c r="C84" s="19" t="s">
        <v>468</v>
      </c>
      <c r="D84" s="19" t="s">
        <v>333</v>
      </c>
      <c r="E84" s="36">
        <v>59</v>
      </c>
      <c r="F84" s="19" t="s">
        <v>309</v>
      </c>
      <c r="G84" s="19" t="s">
        <v>322</v>
      </c>
      <c r="H84" s="19" t="s">
        <v>277</v>
      </c>
      <c r="I84" s="1" t="str">
        <f>IF(ISBLANK(E84),"ručně doplnit",IF(E84="-","není ve výkazech",IF(C84="Rozvaha",VLOOKUP(E84,'řádky R'!$A:$B,2,0),IF(C84="Výsledovka",VLOOKUP(E84,'řádky V'!A:M,2,0)))))</f>
        <v>Peníze</v>
      </c>
      <c r="J84" s="5">
        <v>60</v>
      </c>
      <c r="K84" s="19" t="s">
        <v>309</v>
      </c>
      <c r="L84" s="19" t="s">
        <v>322</v>
      </c>
      <c r="M84" s="19" t="s">
        <v>277</v>
      </c>
      <c r="N84" s="1" t="str">
        <f>IF(ISBLANK(J84),"není alternativa",IF(J84="-","není ve výkazech",VLOOKUP(J84,'řádky R'!$A:$B,2,0)))</f>
        <v>Účty v bankách</v>
      </c>
      <c r="O84" s="19" t="s">
        <v>290</v>
      </c>
    </row>
    <row r="85" spans="1:15" x14ac:dyDescent="0.2">
      <c r="A85" s="18">
        <v>291</v>
      </c>
      <c r="B85" s="19" t="s">
        <v>84</v>
      </c>
      <c r="C85" s="19" t="s">
        <v>468</v>
      </c>
      <c r="D85" s="19" t="s">
        <v>333</v>
      </c>
      <c r="E85" s="36">
        <v>61</v>
      </c>
      <c r="F85" s="19" t="s">
        <v>309</v>
      </c>
      <c r="G85" s="19" t="s">
        <v>322</v>
      </c>
      <c r="H85" s="19" t="s">
        <v>279</v>
      </c>
      <c r="I85" s="1" t="str">
        <f>IF(ISBLANK(E85),"ručně doplnit",IF(E85="-","není ve výkazech",IF(C85="Rozvaha",VLOOKUP(E85,'řádky R'!$A:$B,2,0),IF(C85="Výsledovka",VLOOKUP(E85,'řádky V'!A:M,2,0)))))</f>
        <v>Krátkodobé cenné papíry a podíly</v>
      </c>
      <c r="J85" s="5">
        <v>62</v>
      </c>
      <c r="K85" s="19" t="s">
        <v>309</v>
      </c>
      <c r="L85" s="19" t="s">
        <v>322</v>
      </c>
      <c r="M85" s="19" t="s">
        <v>279</v>
      </c>
      <c r="N85" s="1" t="str">
        <f>IF(ISBLANK(J85),"není alternativa",IF(J85="-","není ve výkazech",VLOOKUP(J85,'řádky R'!$A:$B,2,0)))</f>
        <v>Pořizovaný krátkodobý finanční majetek</v>
      </c>
      <c r="O85" s="19" t="s">
        <v>292</v>
      </c>
    </row>
    <row r="86" spans="1:15" x14ac:dyDescent="0.2">
      <c r="A86" s="18">
        <v>311</v>
      </c>
      <c r="B86" s="19" t="s">
        <v>86</v>
      </c>
      <c r="C86" s="19" t="s">
        <v>468</v>
      </c>
      <c r="D86" s="19" t="s">
        <v>333</v>
      </c>
      <c r="E86" s="36">
        <v>49</v>
      </c>
      <c r="F86" s="19" t="s">
        <v>309</v>
      </c>
      <c r="G86" s="19" t="s">
        <v>291</v>
      </c>
      <c r="H86" s="19" t="s">
        <v>277</v>
      </c>
      <c r="I86" s="1" t="str">
        <f>IF(ISBLANK(E86),"ručně doplnit",IF(E86="-","není ve výkazech",IF(C86="Rozvaha",VLOOKUP(E86,'řádky R'!$A:$B,2,0),IF(C86="Výsledovka",VLOOKUP(E86,'řádky V'!A:M,2,0)))))</f>
        <v>Pohledávky z obchodních vztahů</v>
      </c>
      <c r="J86" s="5">
        <v>40</v>
      </c>
      <c r="K86" s="19" t="s">
        <v>309</v>
      </c>
      <c r="L86" s="19" t="s">
        <v>286</v>
      </c>
      <c r="M86" s="19" t="s">
        <v>277</v>
      </c>
      <c r="N86" s="1" t="str">
        <f>IF(ISBLANK(J86),"není alternativa",IF(J86="-","není ve výkazech",VLOOKUP(J86,'řádky R'!$A:$B,2,0)))</f>
        <v>Pohledávky z obchodních vztahů</v>
      </c>
      <c r="O86" s="19" t="s">
        <v>290</v>
      </c>
    </row>
    <row r="87" spans="1:15" x14ac:dyDescent="0.2">
      <c r="A87" s="18">
        <v>312</v>
      </c>
      <c r="B87" s="19" t="s">
        <v>87</v>
      </c>
      <c r="C87" s="19" t="s">
        <v>468</v>
      </c>
      <c r="D87" s="19" t="s">
        <v>333</v>
      </c>
      <c r="E87" s="36" t="s">
        <v>306</v>
      </c>
      <c r="I87" s="1" t="str">
        <f>IF(ISBLANK(E87),"ručně doplnit",IF(E87="-","není ve výkazech",IF(C87="Rozvaha",VLOOKUP(E87,'řádky R'!$A:$B,2,0),IF(C87="Výsledovka",VLOOKUP(E87,'řádky V'!A:M,2,0)))))</f>
        <v>není ve výkazech</v>
      </c>
      <c r="N87" s="1" t="str">
        <f>IF(ISBLANK(J87),"není alternativa",IF(J87="-","není ve výkazech",VLOOKUP(J87,'řádky R'!$A:$B,2,0)))</f>
        <v>není alternativa</v>
      </c>
      <c r="O87" s="19" t="s">
        <v>290</v>
      </c>
    </row>
    <row r="88" spans="1:15" x14ac:dyDescent="0.2">
      <c r="A88" s="18">
        <v>313</v>
      </c>
      <c r="B88" s="19" t="s">
        <v>88</v>
      </c>
      <c r="C88" s="19" t="s">
        <v>468</v>
      </c>
      <c r="D88" s="19" t="s">
        <v>333</v>
      </c>
      <c r="E88" s="36">
        <v>49</v>
      </c>
      <c r="F88" s="19" t="s">
        <v>309</v>
      </c>
      <c r="G88" s="19" t="s">
        <v>291</v>
      </c>
      <c r="H88" s="19" t="s">
        <v>277</v>
      </c>
      <c r="I88" s="1" t="str">
        <f>IF(ISBLANK(E88),"ručně doplnit",IF(E88="-","není ve výkazech",IF(C88="Rozvaha",VLOOKUP(E88,'řádky R'!$A:$B,2,0),IF(C88="Výsledovka",VLOOKUP(E88,'řádky V'!A:M,2,0)))))</f>
        <v>Pohledávky z obchodních vztahů</v>
      </c>
      <c r="J88" s="5">
        <v>40</v>
      </c>
      <c r="K88" s="19" t="s">
        <v>309</v>
      </c>
      <c r="L88" s="19" t="s">
        <v>286</v>
      </c>
      <c r="M88" s="19" t="s">
        <v>277</v>
      </c>
      <c r="N88" s="1" t="str">
        <f>IF(ISBLANK(J88),"není alternativa",IF(J88="-","není ve výkazech",VLOOKUP(J88,'řádky R'!$A:$B,2,0)))</f>
        <v>Pohledávky z obchodních vztahů</v>
      </c>
      <c r="O88" s="19" t="s">
        <v>290</v>
      </c>
    </row>
    <row r="89" spans="1:15" x14ac:dyDescent="0.2">
      <c r="A89" s="18">
        <v>314</v>
      </c>
      <c r="B89" s="19" t="s">
        <v>89</v>
      </c>
      <c r="C89" s="19" t="s">
        <v>468</v>
      </c>
      <c r="D89" s="19" t="s">
        <v>333</v>
      </c>
      <c r="E89" s="36">
        <v>55</v>
      </c>
      <c r="F89" s="19" t="s">
        <v>309</v>
      </c>
      <c r="G89" s="19" t="s">
        <v>291</v>
      </c>
      <c r="H89" s="19" t="s">
        <v>283</v>
      </c>
      <c r="I89" s="1" t="str">
        <f>IF(ISBLANK(E89),"ručně doplnit",IF(E89="-","není ve výkazech",IF(C89="Rozvaha",VLOOKUP(E89,'řádky R'!$A:$B,2,0),IF(C89="Výsledovka",VLOOKUP(E89,'řádky V'!A:M,2,0)))))</f>
        <v>Krátkodobé poskytnuté zálohy</v>
      </c>
      <c r="J89" s="5">
        <v>44</v>
      </c>
      <c r="K89" s="19" t="s">
        <v>309</v>
      </c>
      <c r="L89" s="19" t="s">
        <v>286</v>
      </c>
      <c r="M89" s="19" t="s">
        <v>281</v>
      </c>
      <c r="N89" s="1" t="str">
        <f>IF(ISBLANK(J89),"není alternativa",IF(J89="-","není ve výkazech",VLOOKUP(J89,'řádky R'!$A:$B,2,0)))</f>
        <v>Dlouhodobé poskytnuté zálohy</v>
      </c>
      <c r="O89" s="19" t="s">
        <v>290</v>
      </c>
    </row>
    <row r="90" spans="1:15" x14ac:dyDescent="0.2">
      <c r="A90" s="18">
        <v>315</v>
      </c>
      <c r="B90" s="19" t="s">
        <v>90</v>
      </c>
      <c r="C90" s="19" t="s">
        <v>468</v>
      </c>
      <c r="D90" s="19" t="s">
        <v>333</v>
      </c>
      <c r="E90" s="36">
        <v>49</v>
      </c>
      <c r="F90" s="19" t="s">
        <v>309</v>
      </c>
      <c r="G90" s="19" t="s">
        <v>291</v>
      </c>
      <c r="H90" s="19" t="s">
        <v>277</v>
      </c>
      <c r="I90" s="1" t="str">
        <f>IF(ISBLANK(E90),"ručně doplnit",IF(E90="-","není ve výkazech",IF(C90="Rozvaha",VLOOKUP(E90,'řádky R'!$A:$B,2,0),IF(C90="Výsledovka",VLOOKUP(E90,'řádky V'!A:M,2,0)))))</f>
        <v>Pohledávky z obchodních vztahů</v>
      </c>
      <c r="J90" s="5">
        <v>40</v>
      </c>
      <c r="K90" s="19" t="s">
        <v>309</v>
      </c>
      <c r="L90" s="19" t="s">
        <v>286</v>
      </c>
      <c r="M90" s="19" t="s">
        <v>277</v>
      </c>
      <c r="N90" s="1" t="str">
        <f>IF(ISBLANK(J90),"není alternativa",IF(J90="-","není ve výkazech",VLOOKUP(J90,'řádky R'!$A:$B,2,0)))</f>
        <v>Pohledávky z obchodních vztahů</v>
      </c>
      <c r="O90" s="19" t="s">
        <v>290</v>
      </c>
    </row>
    <row r="91" spans="1:15" x14ac:dyDescent="0.2">
      <c r="A91" s="18">
        <v>321</v>
      </c>
      <c r="B91" s="19" t="s">
        <v>91</v>
      </c>
      <c r="C91" s="19" t="s">
        <v>468</v>
      </c>
      <c r="D91" s="19" t="s">
        <v>360</v>
      </c>
      <c r="E91" s="36">
        <v>106</v>
      </c>
      <c r="F91" s="19" t="s">
        <v>275</v>
      </c>
      <c r="G91" s="19" t="s">
        <v>291</v>
      </c>
      <c r="H91" s="19" t="s">
        <v>277</v>
      </c>
      <c r="I91" s="1" t="str">
        <f>IF(ISBLANK(E91),"ručně doplnit",IF(E91="-","není ve výkazech",IF(C91="Rozvaha",VLOOKUP(E91,'řádky R'!$A:$B,2,0),IF(C91="Výsledovka",VLOOKUP(E91,'řádky V'!A:M,2,0)))))</f>
        <v>Závazky z obchodních vztahů</v>
      </c>
      <c r="N91" s="1" t="str">
        <f>IF(ISBLANK(J91),"není alternativa",IF(J91="-","není ve výkazech",VLOOKUP(J91,'řádky R'!$A:$B,2,0)))</f>
        <v>není alternativa</v>
      </c>
      <c r="O91" s="19" t="s">
        <v>290</v>
      </c>
    </row>
    <row r="92" spans="1:15" x14ac:dyDescent="0.2">
      <c r="A92" s="18">
        <v>322</v>
      </c>
      <c r="B92" s="19" t="s">
        <v>92</v>
      </c>
      <c r="C92" s="19" t="s">
        <v>468</v>
      </c>
      <c r="D92" s="19" t="s">
        <v>360</v>
      </c>
      <c r="E92" s="36">
        <v>106</v>
      </c>
      <c r="F92" s="19" t="s">
        <v>275</v>
      </c>
      <c r="G92" s="19" t="s">
        <v>291</v>
      </c>
      <c r="H92" s="19" t="s">
        <v>277</v>
      </c>
      <c r="I92" s="1" t="str">
        <f>IF(ISBLANK(E92),"ručně doplnit",IF(E92="-","není ve výkazech",IF(C92="Rozvaha",VLOOKUP(E92,'řádky R'!$A:$B,2,0),IF(C92="Výsledovka",VLOOKUP(E92,'řádky V'!A:M,2,0)))))</f>
        <v>Závazky z obchodních vztahů</v>
      </c>
      <c r="N92" s="1" t="str">
        <f>IF(ISBLANK(J92),"není alternativa",IF(J92="-","není ve výkazech",VLOOKUP(J92,'řádky R'!$A:$B,2,0)))</f>
        <v>není alternativa</v>
      </c>
      <c r="O92" s="19" t="s">
        <v>290</v>
      </c>
    </row>
    <row r="93" spans="1:15" x14ac:dyDescent="0.2">
      <c r="A93" s="18">
        <v>324</v>
      </c>
      <c r="B93" s="19" t="s">
        <v>93</v>
      </c>
      <c r="C93" s="19" t="s">
        <v>468</v>
      </c>
      <c r="D93" s="19" t="s">
        <v>360</v>
      </c>
      <c r="E93" s="36">
        <v>113</v>
      </c>
      <c r="F93" s="19" t="s">
        <v>275</v>
      </c>
      <c r="G93" s="19" t="s">
        <v>291</v>
      </c>
      <c r="H93" s="19" t="s">
        <v>284</v>
      </c>
      <c r="I93" s="1" t="str">
        <f>IF(ISBLANK(E93),"ručně doplnit",IF(E93="-","není ve výkazech",IF(C93="Rozvaha",VLOOKUP(E93,'řádky R'!$A:$B,2,0),IF(C93="Výsledovka",VLOOKUP(E93,'řádky V'!A:M,2,0)))))</f>
        <v>Kratkodobé přijaté zálohy</v>
      </c>
      <c r="N93" s="1" t="str">
        <f>IF(ISBLANK(J93),"není alternativa",IF(J93="-","není ve výkazech",VLOOKUP(J93,'řádky R'!$A:$B,2,0)))</f>
        <v>není alternativa</v>
      </c>
      <c r="O93" s="19" t="s">
        <v>290</v>
      </c>
    </row>
    <row r="94" spans="1:15" x14ac:dyDescent="0.2">
      <c r="A94" s="18">
        <v>325</v>
      </c>
      <c r="B94" s="19" t="s">
        <v>94</v>
      </c>
      <c r="C94" s="19" t="s">
        <v>468</v>
      </c>
      <c r="D94" s="19" t="s">
        <v>360</v>
      </c>
      <c r="E94" s="36">
        <v>106</v>
      </c>
      <c r="F94" s="19" t="s">
        <v>275</v>
      </c>
      <c r="G94" s="19" t="s">
        <v>291</v>
      </c>
      <c r="H94" s="19" t="s">
        <v>277</v>
      </c>
      <c r="I94" s="1" t="str">
        <f>IF(ISBLANK(E94),"ručně doplnit",IF(E94="-","není ve výkazech",IF(C94="Rozvaha",VLOOKUP(E94,'řádky R'!$A:$B,2,0),IF(C94="Výsledovka",VLOOKUP(E94,'řádky V'!A:M,2,0)))))</f>
        <v>Závazky z obchodních vztahů</v>
      </c>
      <c r="N94" s="1" t="str">
        <f>IF(ISBLANK(J94),"není alternativa",IF(J94="-","není ve výkazech",VLOOKUP(J94,'řádky R'!$A:$B,2,0)))</f>
        <v>není alternativa</v>
      </c>
      <c r="O94" s="19" t="s">
        <v>290</v>
      </c>
    </row>
    <row r="95" spans="1:15" x14ac:dyDescent="0.2">
      <c r="A95" s="18">
        <v>331</v>
      </c>
      <c r="B95" s="19" t="s">
        <v>95</v>
      </c>
      <c r="C95" s="19" t="s">
        <v>468</v>
      </c>
      <c r="D95" s="19" t="s">
        <v>360</v>
      </c>
      <c r="E95" s="36">
        <v>110</v>
      </c>
      <c r="F95" s="19" t="s">
        <v>275</v>
      </c>
      <c r="G95" s="19" t="s">
        <v>291</v>
      </c>
      <c r="H95" s="19" t="s">
        <v>281</v>
      </c>
      <c r="I95" s="1" t="str">
        <f>IF(ISBLANK(E95),"ručně doplnit",IF(E95="-","není ve výkazech",IF(C95="Rozvaha",VLOOKUP(E95,'řádky R'!$A:$B,2,0),IF(C95="Výsledovka",VLOOKUP(E95,'řádky V'!A:M,2,0)))))</f>
        <v>Závazky k zaměstnancům</v>
      </c>
      <c r="N95" s="1" t="str">
        <f>IF(ISBLANK(J95),"není alternativa",IF(J95="-","není ve výkazech",VLOOKUP(J95,'řádky R'!$A:$B,2,0)))</f>
        <v>není alternativa</v>
      </c>
      <c r="O95" s="19" t="s">
        <v>290</v>
      </c>
    </row>
    <row r="96" spans="1:15" x14ac:dyDescent="0.2">
      <c r="A96" s="18">
        <v>333</v>
      </c>
      <c r="B96" s="19" t="s">
        <v>96</v>
      </c>
      <c r="C96" s="19" t="s">
        <v>468</v>
      </c>
      <c r="D96" s="19" t="s">
        <v>360</v>
      </c>
      <c r="E96" s="36">
        <v>110</v>
      </c>
      <c r="F96" s="19" t="s">
        <v>275</v>
      </c>
      <c r="G96" s="19" t="s">
        <v>291</v>
      </c>
      <c r="H96" s="19" t="s">
        <v>281</v>
      </c>
      <c r="I96" s="1" t="str">
        <f>IF(ISBLANK(E96),"ručně doplnit",IF(E96="-","není ve výkazech",IF(C96="Rozvaha",VLOOKUP(E96,'řádky R'!$A:$B,2,0),IF(C96="Výsledovka",VLOOKUP(E96,'řádky V'!A:M,2,0)))))</f>
        <v>Závazky k zaměstnancům</v>
      </c>
      <c r="N96" s="1" t="str">
        <f>IF(ISBLANK(J96),"není alternativa",IF(J96="-","není ve výkazech",VLOOKUP(J96,'řádky R'!$A:$B,2,0)))</f>
        <v>není alternativa</v>
      </c>
      <c r="O96" s="19" t="s">
        <v>290</v>
      </c>
    </row>
    <row r="97" spans="1:18" x14ac:dyDescent="0.2">
      <c r="A97" s="18">
        <v>335</v>
      </c>
      <c r="B97" s="19" t="s">
        <v>97</v>
      </c>
      <c r="C97" s="19" t="s">
        <v>468</v>
      </c>
      <c r="D97" s="19" t="s">
        <v>407</v>
      </c>
      <c r="E97" s="36">
        <v>57</v>
      </c>
      <c r="F97" s="19" t="s">
        <v>309</v>
      </c>
      <c r="G97" s="19" t="s">
        <v>291</v>
      </c>
      <c r="H97" s="19" t="s">
        <v>287</v>
      </c>
      <c r="I97" s="1" t="str">
        <f>IF(ISBLANK(E97),"ručně doplnit",IF(E97="-","není ve výkazech",IF(C97="Rozvaha",VLOOKUP(E97,'řádky R'!$A:$B,2,0),IF(C97="Výsledovka",VLOOKUP(E97,'řádky V'!A:M,2,0)))))</f>
        <v>Jiné pohledávky</v>
      </c>
      <c r="J97" s="5">
        <v>110</v>
      </c>
      <c r="K97" s="19" t="s">
        <v>275</v>
      </c>
      <c r="L97" s="19" t="s">
        <v>291</v>
      </c>
      <c r="M97" s="19" t="s">
        <v>281</v>
      </c>
      <c r="N97" s="1" t="str">
        <f>IF(ISBLANK(J97),"není alternativa",IF(J97="-","není ve výkazech",VLOOKUP(J97,'řádky R'!$A:$B,2,0)))</f>
        <v>Závazky k zaměstnancům</v>
      </c>
      <c r="O97" s="19" t="s">
        <v>290</v>
      </c>
    </row>
    <row r="98" spans="1:18" x14ac:dyDescent="0.2">
      <c r="A98" s="18">
        <v>336</v>
      </c>
      <c r="B98" s="19" t="s">
        <v>98</v>
      </c>
      <c r="C98" s="19" t="s">
        <v>468</v>
      </c>
      <c r="D98" s="19" t="s">
        <v>407</v>
      </c>
      <c r="E98" s="36">
        <v>53</v>
      </c>
      <c r="F98" s="19" t="s">
        <v>309</v>
      </c>
      <c r="G98" s="19" t="s">
        <v>291</v>
      </c>
      <c r="H98" s="19" t="s">
        <v>281</v>
      </c>
      <c r="I98" s="1" t="str">
        <f>IF(ISBLANK(E98),"ručně doplnit",IF(E98="-","není ve výkazech",IF(C98="Rozvaha",VLOOKUP(E98,'řádky R'!$A:$B,2,0),IF(C98="Výsledovka",VLOOKUP(E98,'řádky V'!A:M,2,0)))))</f>
        <v>Sociální zabezpečení a zdravotní pojištění</v>
      </c>
      <c r="J98" s="5">
        <v>111</v>
      </c>
      <c r="K98" s="19" t="s">
        <v>275</v>
      </c>
      <c r="L98" s="19" t="s">
        <v>291</v>
      </c>
      <c r="M98" s="19" t="s">
        <v>282</v>
      </c>
      <c r="N98" s="1" t="str">
        <f>IF(ISBLANK(J98),"není alternativa",IF(J98="-","není ve výkazech",VLOOKUP(J98,'řádky R'!$A:$B,2,0)))</f>
        <v>Závazky ze sociálního zabezpečení a zdravotního pojištění</v>
      </c>
      <c r="O98" s="19" t="s">
        <v>290</v>
      </c>
    </row>
    <row r="99" spans="1:18" x14ac:dyDescent="0.2">
      <c r="A99" s="18">
        <v>341</v>
      </c>
      <c r="B99" s="19" t="s">
        <v>99</v>
      </c>
      <c r="C99" s="19" t="s">
        <v>468</v>
      </c>
      <c r="D99" s="19" t="s">
        <v>407</v>
      </c>
      <c r="E99" s="36">
        <v>54</v>
      </c>
      <c r="F99" s="19" t="s">
        <v>309</v>
      </c>
      <c r="G99" s="19" t="s">
        <v>291</v>
      </c>
      <c r="H99" s="19" t="s">
        <v>282</v>
      </c>
      <c r="I99" s="1" t="str">
        <f>IF(ISBLANK(E99),"ručně doplnit",IF(E99="-","není ve výkazech",IF(C99="Rozvaha",VLOOKUP(E99,'řádky R'!$A:$B,2,0),IF(C99="Výsledovka",VLOOKUP(E99,'řádky V'!A:M,2,0)))))</f>
        <v>Stát - daňové pohledávky</v>
      </c>
      <c r="J99" s="5">
        <v>112</v>
      </c>
      <c r="K99" s="19" t="s">
        <v>275</v>
      </c>
      <c r="L99" s="19" t="s">
        <v>291</v>
      </c>
      <c r="M99" s="19" t="s">
        <v>283</v>
      </c>
      <c r="N99" s="1" t="str">
        <f>IF(ISBLANK(J99),"není alternativa",IF(J99="-","není ve výkazech",VLOOKUP(J99,'řádky R'!$A:$B,2,0)))</f>
        <v>Stát - daňové závazky a dotace</v>
      </c>
      <c r="O99" s="19" t="s">
        <v>290</v>
      </c>
    </row>
    <row r="100" spans="1:18" x14ac:dyDescent="0.2">
      <c r="A100" s="18">
        <v>342</v>
      </c>
      <c r="B100" s="19" t="s">
        <v>100</v>
      </c>
      <c r="C100" s="19" t="s">
        <v>468</v>
      </c>
      <c r="D100" s="19" t="s">
        <v>407</v>
      </c>
      <c r="E100" s="36">
        <v>54</v>
      </c>
      <c r="F100" s="19" t="s">
        <v>309</v>
      </c>
      <c r="G100" s="19" t="s">
        <v>291</v>
      </c>
      <c r="H100" s="19" t="s">
        <v>282</v>
      </c>
      <c r="I100" s="1" t="str">
        <f>IF(ISBLANK(E100),"ručně doplnit",IF(E100="-","není ve výkazech",IF(C100="Rozvaha",VLOOKUP(E100,'řádky R'!$A:$B,2,0),IF(C100="Výsledovka",VLOOKUP(E100,'řádky V'!A:M,2,0)))))</f>
        <v>Stát - daňové pohledávky</v>
      </c>
      <c r="J100" s="5">
        <v>112</v>
      </c>
      <c r="K100" s="19" t="s">
        <v>275</v>
      </c>
      <c r="L100" s="19" t="s">
        <v>291</v>
      </c>
      <c r="M100" s="19" t="s">
        <v>283</v>
      </c>
      <c r="N100" s="1" t="str">
        <f>IF(ISBLANK(J100),"není alternativa",IF(J100="-","není ve výkazech",VLOOKUP(J100,'řádky R'!$A:$B,2,0)))</f>
        <v>Stát - daňové závazky a dotace</v>
      </c>
      <c r="O100" s="19" t="s">
        <v>290</v>
      </c>
    </row>
    <row r="101" spans="1:18" x14ac:dyDescent="0.2">
      <c r="A101" s="18">
        <v>343</v>
      </c>
      <c r="B101" s="19" t="s">
        <v>101</v>
      </c>
      <c r="C101" s="19" t="s">
        <v>468</v>
      </c>
      <c r="D101" s="19" t="s">
        <v>407</v>
      </c>
      <c r="E101" s="36">
        <v>54</v>
      </c>
      <c r="F101" s="19" t="s">
        <v>309</v>
      </c>
      <c r="G101" s="19" t="s">
        <v>291</v>
      </c>
      <c r="H101" s="19" t="s">
        <v>282</v>
      </c>
      <c r="I101" s="1" t="str">
        <f>IF(ISBLANK(E101),"ručně doplnit",IF(E101="-","není ve výkazech",IF(C101="Rozvaha",VLOOKUP(E101,'řádky R'!$A:$B,2,0),IF(C101="Výsledovka",VLOOKUP(E101,'řádky V'!A:M,2,0)))))</f>
        <v>Stát - daňové pohledávky</v>
      </c>
      <c r="J101" s="5">
        <v>112</v>
      </c>
      <c r="K101" s="19" t="s">
        <v>275</v>
      </c>
      <c r="L101" s="19" t="s">
        <v>291</v>
      </c>
      <c r="M101" s="19" t="s">
        <v>283</v>
      </c>
      <c r="N101" s="1" t="str">
        <f>IF(ISBLANK(J101),"není alternativa",IF(J101="-","není ve výkazech",VLOOKUP(J101,'řádky R'!$A:$B,2,0)))</f>
        <v>Stát - daňové závazky a dotace</v>
      </c>
      <c r="O101" s="19" t="s">
        <v>290</v>
      </c>
    </row>
    <row r="102" spans="1:18" x14ac:dyDescent="0.2">
      <c r="A102" s="18">
        <v>345</v>
      </c>
      <c r="B102" s="19" t="s">
        <v>102</v>
      </c>
      <c r="C102" s="19" t="s">
        <v>468</v>
      </c>
      <c r="D102" s="19" t="s">
        <v>407</v>
      </c>
      <c r="E102" s="36">
        <v>54</v>
      </c>
      <c r="F102" s="19" t="s">
        <v>309</v>
      </c>
      <c r="G102" s="19" t="s">
        <v>291</v>
      </c>
      <c r="H102" s="19" t="s">
        <v>282</v>
      </c>
      <c r="I102" s="1" t="str">
        <f>IF(ISBLANK(E102),"ručně doplnit",IF(E102="-","není ve výkazech",IF(C102="Rozvaha",VLOOKUP(E102,'řádky R'!$A:$B,2,0),IF(C102="Výsledovka",VLOOKUP(E102,'řádky V'!A:M,2,0)))))</f>
        <v>Stát - daňové pohledávky</v>
      </c>
      <c r="J102" s="5">
        <v>112</v>
      </c>
      <c r="K102" s="19" t="s">
        <v>275</v>
      </c>
      <c r="L102" s="19" t="s">
        <v>291</v>
      </c>
      <c r="M102" s="19" t="s">
        <v>283</v>
      </c>
      <c r="N102" s="1" t="str">
        <f>IF(ISBLANK(J102),"není alternativa",IF(J102="-","není ve výkazech",VLOOKUP(J102,'řádky R'!$A:$B,2,0)))</f>
        <v>Stát - daňové závazky a dotace</v>
      </c>
      <c r="O102" s="19" t="s">
        <v>290</v>
      </c>
    </row>
    <row r="103" spans="1:18" x14ac:dyDescent="0.2">
      <c r="A103" s="18">
        <v>346</v>
      </c>
      <c r="B103" s="19" t="s">
        <v>103</v>
      </c>
      <c r="C103" s="19" t="s">
        <v>468</v>
      </c>
      <c r="D103" s="19" t="s">
        <v>407</v>
      </c>
      <c r="E103" s="36">
        <v>54</v>
      </c>
      <c r="F103" s="19" t="s">
        <v>309</v>
      </c>
      <c r="G103" s="19" t="s">
        <v>291</v>
      </c>
      <c r="H103" s="19" t="s">
        <v>282</v>
      </c>
      <c r="I103" s="1" t="str">
        <f>IF(ISBLANK(E103),"ručně doplnit",IF(E103="-","není ve výkazech",IF(C103="Rozvaha",VLOOKUP(E103,'řádky R'!$A:$B,2,0),IF(C103="Výsledovka",VLOOKUP(E103,'řádky V'!A:M,2,0)))))</f>
        <v>Stát - daňové pohledávky</v>
      </c>
      <c r="J103" s="36">
        <v>112</v>
      </c>
      <c r="K103" s="19" t="s">
        <v>275</v>
      </c>
      <c r="L103" s="19" t="s">
        <v>291</v>
      </c>
      <c r="M103" s="19" t="s">
        <v>283</v>
      </c>
      <c r="N103" s="1" t="str">
        <f>IF(ISBLANK(J103),"není alternativa",IF(J103="-","není ve výkazech",VLOOKUP(J103,'řádky R'!$A:$B,2,0)))</f>
        <v>Stát - daňové závazky a dotace</v>
      </c>
      <c r="O103" s="19" t="s">
        <v>290</v>
      </c>
    </row>
    <row r="104" spans="1:18" x14ac:dyDescent="0.2">
      <c r="A104" s="18">
        <v>347</v>
      </c>
      <c r="B104" s="19" t="s">
        <v>104</v>
      </c>
      <c r="C104" s="19" t="s">
        <v>468</v>
      </c>
      <c r="D104" s="19" t="s">
        <v>360</v>
      </c>
      <c r="E104" s="36">
        <v>112</v>
      </c>
      <c r="F104" s="19" t="s">
        <v>275</v>
      </c>
      <c r="G104" s="19" t="s">
        <v>291</v>
      </c>
      <c r="H104" s="19" t="s">
        <v>283</v>
      </c>
      <c r="I104" s="1" t="str">
        <f>IF(ISBLANK(E104),"ručně doplnit",IF(E104="-","není ve výkazech",IF(C104="Rozvaha",VLOOKUP(E104,'řádky R'!$A:$B,2,0),IF(C104="Výsledovka",VLOOKUP(E104,'řádky V'!A:M,2,0)))))</f>
        <v>Stát - daňové závazky a dotace</v>
      </c>
      <c r="N104" s="1" t="str">
        <f>IF(ISBLANK(J104),"není alternativa",IF(J104="-","není ve výkazech",VLOOKUP(J104,'řádky R'!$A:$B,2,0)))</f>
        <v>není alternativa</v>
      </c>
      <c r="O104" s="19" t="s">
        <v>290</v>
      </c>
    </row>
    <row r="105" spans="1:18" x14ac:dyDescent="0.2">
      <c r="A105" s="18">
        <v>349</v>
      </c>
      <c r="B105" s="19" t="s">
        <v>105</v>
      </c>
      <c r="C105" s="19" t="s">
        <v>468</v>
      </c>
      <c r="D105" s="19" t="s">
        <v>333</v>
      </c>
      <c r="E105" s="36" t="s">
        <v>306</v>
      </c>
      <c r="I105" s="1" t="str">
        <f>IF(ISBLANK(E105),"ručně doplnit",IF(E105="-","není ve výkazech",IF(C105="Rozvaha",VLOOKUP(E105,'řádky R'!$A:$B,2,0),IF(C105="Výsledovka",VLOOKUP(E105,'řádky V'!A:M,2,0)))))</f>
        <v>není ve výkazech</v>
      </c>
      <c r="N105" s="1" t="str">
        <f>IF(ISBLANK(J105),"není alternativa",IF(J105="-","není ve výkazech",VLOOKUP(J105,'řádky R'!$A:$B,2,0)))</f>
        <v>není alternativa</v>
      </c>
      <c r="O105" s="19" t="s">
        <v>290</v>
      </c>
    </row>
    <row r="106" spans="1:18" x14ac:dyDescent="0.2">
      <c r="A106" s="18">
        <v>351</v>
      </c>
      <c r="B106" s="19" t="s">
        <v>106</v>
      </c>
      <c r="C106" s="19" t="s">
        <v>468</v>
      </c>
      <c r="D106" s="19" t="s">
        <v>333</v>
      </c>
      <c r="E106" s="36">
        <v>50</v>
      </c>
      <c r="F106" s="19" t="s">
        <v>309</v>
      </c>
      <c r="G106" s="19" t="s">
        <v>291</v>
      </c>
      <c r="H106" s="19" t="s">
        <v>278</v>
      </c>
      <c r="I106" s="1" t="str">
        <f>IF(ISBLANK(E106),"ručně doplnit",IF(E106="-","není ve výkazech",IF(C106="Rozvaha",VLOOKUP(E106,'řádky R'!$A:$B,2,0),IF(C106="Výsledovka",VLOOKUP(E106,'řádky V'!A:M,2,0)))))</f>
        <v>Pohledávky - ovládající a řídící osoba</v>
      </c>
      <c r="J106" s="5">
        <v>41</v>
      </c>
      <c r="K106" s="19" t="s">
        <v>309</v>
      </c>
      <c r="L106" s="19" t="s">
        <v>286</v>
      </c>
      <c r="M106" s="19" t="s">
        <v>278</v>
      </c>
      <c r="N106" s="1" t="str">
        <f>IF(ISBLANK(J106),"není alternativa",IF(J106="-","není ve výkazech",VLOOKUP(J106,'řádky R'!$A:$B,2,0)))</f>
        <v>Pohledávky - ovládaná nebo ovládající osoba</v>
      </c>
      <c r="O106" s="19" t="s">
        <v>290</v>
      </c>
      <c r="P106" s="19"/>
      <c r="Q106" s="19"/>
      <c r="R106" s="19"/>
    </row>
    <row r="107" spans="1:18" x14ac:dyDescent="0.2">
      <c r="A107" s="18">
        <v>352</v>
      </c>
      <c r="B107" s="19" t="s">
        <v>107</v>
      </c>
      <c r="C107" s="19" t="s">
        <v>468</v>
      </c>
      <c r="D107" s="19" t="s">
        <v>333</v>
      </c>
      <c r="E107" s="36">
        <v>50</v>
      </c>
      <c r="F107" s="19" t="s">
        <v>309</v>
      </c>
      <c r="G107" s="19" t="s">
        <v>291</v>
      </c>
      <c r="H107" s="19" t="s">
        <v>278</v>
      </c>
      <c r="I107" s="1" t="str">
        <f>IF(ISBLANK(E107),"ručně doplnit",IF(E107="-","není ve výkazech",IF(C107="Rozvaha",VLOOKUP(E107,'řádky R'!$A:$B,2,0),IF(C107="Výsledovka",VLOOKUP(E107,'řádky V'!A:M,2,0)))))</f>
        <v>Pohledávky - ovládající a řídící osoba</v>
      </c>
      <c r="J107" s="5">
        <v>42</v>
      </c>
      <c r="K107" s="19" t="s">
        <v>309</v>
      </c>
      <c r="L107" s="19" t="s">
        <v>286</v>
      </c>
      <c r="M107" s="19" t="s">
        <v>279</v>
      </c>
      <c r="N107" s="1" t="str">
        <f>IF(ISBLANK(J107),"není alternativa",IF(J107="-","není ve výkazech",VLOOKUP(J107,'řádky R'!$A:$B,2,0)))</f>
        <v>Pohledávky - podstatný vliv</v>
      </c>
      <c r="O107" s="19" t="s">
        <v>290</v>
      </c>
      <c r="P107" s="19"/>
      <c r="Q107" s="19"/>
      <c r="R107" s="19"/>
    </row>
    <row r="108" spans="1:18" x14ac:dyDescent="0.2">
      <c r="A108" s="18">
        <v>353</v>
      </c>
      <c r="B108" s="19" t="s">
        <v>108</v>
      </c>
      <c r="C108" s="19" t="s">
        <v>468</v>
      </c>
      <c r="D108" s="19" t="s">
        <v>333</v>
      </c>
      <c r="E108" s="36">
        <v>2</v>
      </c>
      <c r="F108" s="19" t="s">
        <v>274</v>
      </c>
      <c r="G108" s="19" t="s">
        <v>276</v>
      </c>
      <c r="H108" s="19" t="s">
        <v>277</v>
      </c>
      <c r="I108" s="1" t="str">
        <f>IF(ISBLANK(E108),"ručně doplnit",IF(E108="-","není ve výkazech",IF(C108="Rozvaha",VLOOKUP(E108,'řádky R'!$A:$B,2,0),IF(C108="Výsledovka",VLOOKUP(E108,'řádky V'!A:M,2,0)))))</f>
        <v>Pohledávky za upsaný základní kapitál</v>
      </c>
      <c r="N108" s="1" t="str">
        <f>IF(ISBLANK(J108),"není alternativa",IF(J108="-","není ve výkazech",VLOOKUP(J108,'řádky R'!$A:$B,2,0)))</f>
        <v>není alternativa</v>
      </c>
      <c r="O108" s="19" t="s">
        <v>290</v>
      </c>
    </row>
    <row r="109" spans="1:18" x14ac:dyDescent="0.2">
      <c r="A109" s="18">
        <v>354</v>
      </c>
      <c r="B109" s="19" t="s">
        <v>109</v>
      </c>
      <c r="C109" s="19" t="s">
        <v>468</v>
      </c>
      <c r="D109" s="19" t="s">
        <v>333</v>
      </c>
      <c r="E109" s="36">
        <v>52</v>
      </c>
      <c r="F109" s="19" t="s">
        <v>309</v>
      </c>
      <c r="G109" s="19" t="s">
        <v>291</v>
      </c>
      <c r="H109" s="19" t="s">
        <v>280</v>
      </c>
      <c r="I109" s="1" t="str">
        <f>IF(ISBLANK(E109),"ručně doplnit",IF(E109="-","není ve výkazech",IF(C109="Rozvaha",VLOOKUP(E109,'řádky R'!$A:$B,2,0),IF(C109="Výsledovka",VLOOKUP(E109,'řádky V'!A:M,2,0)))))</f>
        <v>Pohledávky za společníky, členy družstva  a za účastníky sdružení</v>
      </c>
      <c r="N109" s="1" t="str">
        <f>IF(ISBLANK(J109),"není alternativa",IF(J109="-","není ve výkazech",VLOOKUP(J109,'řádky R'!$A:$B,2,0)))</f>
        <v>není alternativa</v>
      </c>
      <c r="O109" s="19" t="s">
        <v>290</v>
      </c>
    </row>
    <row r="110" spans="1:18" x14ac:dyDescent="0.2">
      <c r="A110" s="18">
        <v>355</v>
      </c>
      <c r="B110" s="19" t="s">
        <v>110</v>
      </c>
      <c r="C110" s="19" t="s">
        <v>468</v>
      </c>
      <c r="D110" s="19" t="s">
        <v>333</v>
      </c>
      <c r="E110" s="36">
        <v>52</v>
      </c>
      <c r="F110" s="19" t="s">
        <v>309</v>
      </c>
      <c r="G110" s="19" t="s">
        <v>291</v>
      </c>
      <c r="H110" s="19" t="s">
        <v>280</v>
      </c>
      <c r="I110" s="1" t="str">
        <f>IF(ISBLANK(E110),"ručně doplnit",IF(E110="-","není ve výkazech",IF(C110="Rozvaha",VLOOKUP(E110,'řádky R'!$A:$B,2,0),IF(C110="Výsledovka",VLOOKUP(E110,'řádky V'!A:M,2,0)))))</f>
        <v>Pohledávky za společníky, členy družstva  a za účastníky sdružení</v>
      </c>
      <c r="J110" s="5">
        <v>43</v>
      </c>
      <c r="K110" s="19" t="s">
        <v>309</v>
      </c>
      <c r="L110" s="19" t="s">
        <v>286</v>
      </c>
      <c r="M110" s="32" t="s">
        <v>280</v>
      </c>
      <c r="N110" s="1" t="str">
        <f>IF(ISBLANK(J110),"není alternativa",IF(J110="-","není ve výkazech",VLOOKUP(J110,'řádky R'!$A:$B,2,0)))</f>
        <v>Pohledávky za společníky, členy družstva  a za účastníky sdružení</v>
      </c>
      <c r="O110" s="19" t="s">
        <v>290</v>
      </c>
      <c r="P110" s="19"/>
      <c r="Q110" s="19"/>
      <c r="R110" s="32"/>
    </row>
    <row r="111" spans="1:18" x14ac:dyDescent="0.2">
      <c r="A111" s="18">
        <v>358</v>
      </c>
      <c r="B111" s="19" t="s">
        <v>111</v>
      </c>
      <c r="C111" s="19" t="s">
        <v>468</v>
      </c>
      <c r="D111" s="19" t="s">
        <v>333</v>
      </c>
      <c r="E111" s="36">
        <v>52</v>
      </c>
      <c r="F111" s="19" t="s">
        <v>309</v>
      </c>
      <c r="G111" s="19" t="s">
        <v>291</v>
      </c>
      <c r="H111" s="19" t="s">
        <v>280</v>
      </c>
      <c r="I111" s="1" t="str">
        <f>IF(ISBLANK(E111),"ručně doplnit",IF(E111="-","není ve výkazech",IF(C111="Rozvaha",VLOOKUP(E111,'řádky R'!$A:$B,2,0),IF(C111="Výsledovka",VLOOKUP(E111,'řádky V'!A:M,2,0)))))</f>
        <v>Pohledávky za společníky, členy družstva  a za účastníky sdružení</v>
      </c>
      <c r="J111" s="5">
        <v>43</v>
      </c>
      <c r="K111" s="19" t="s">
        <v>309</v>
      </c>
      <c r="L111" s="19" t="s">
        <v>286</v>
      </c>
      <c r="M111" s="32" t="s">
        <v>280</v>
      </c>
      <c r="N111" s="1" t="str">
        <f>IF(ISBLANK(J111),"není alternativa",IF(J111="-","není ve výkazech",VLOOKUP(J111,'řádky R'!$A:$B,2,0)))</f>
        <v>Pohledávky za společníky, členy družstva  a za účastníky sdružení</v>
      </c>
      <c r="O111" s="19" t="s">
        <v>290</v>
      </c>
      <c r="P111" s="19"/>
      <c r="Q111" s="19"/>
      <c r="R111" s="32"/>
    </row>
    <row r="112" spans="1:18" x14ac:dyDescent="0.2">
      <c r="A112" s="18">
        <v>361</v>
      </c>
      <c r="B112" s="19" t="s">
        <v>112</v>
      </c>
      <c r="C112" s="19" t="s">
        <v>468</v>
      </c>
      <c r="D112" s="19" t="s">
        <v>360</v>
      </c>
      <c r="E112" s="36">
        <v>107</v>
      </c>
      <c r="F112" s="19" t="s">
        <v>275</v>
      </c>
      <c r="G112" s="19" t="s">
        <v>291</v>
      </c>
      <c r="H112" s="19" t="s">
        <v>278</v>
      </c>
      <c r="I112" s="1" t="str">
        <f>IF(ISBLANK(E112),"ručně doplnit",IF(E112="-","není ve výkazech",IF(C112="Rozvaha",VLOOKUP(E112,'řádky R'!$A:$B,2,0),IF(C112="Výsledovka",VLOOKUP(E112,'řádky V'!A:M,2,0)))))</f>
        <v>Závazky - ovládaná nebo ovládající osoba</v>
      </c>
      <c r="N112" s="1" t="str">
        <f>IF(ISBLANK(J112),"není alternativa",IF(J112="-","není ve výkazech",VLOOKUP(J112,'řádky R'!$A:$B,2,0)))</f>
        <v>není alternativa</v>
      </c>
      <c r="O112" s="19" t="s">
        <v>290</v>
      </c>
    </row>
    <row r="113" spans="1:15" x14ac:dyDescent="0.2">
      <c r="A113" s="18">
        <v>362</v>
      </c>
      <c r="B113" s="19" t="s">
        <v>113</v>
      </c>
      <c r="C113" s="19" t="s">
        <v>468</v>
      </c>
      <c r="D113" s="19" t="s">
        <v>360</v>
      </c>
      <c r="E113" s="36">
        <v>108</v>
      </c>
      <c r="F113" s="19" t="s">
        <v>275</v>
      </c>
      <c r="G113" s="19" t="s">
        <v>291</v>
      </c>
      <c r="H113" s="19" t="s">
        <v>279</v>
      </c>
      <c r="I113" s="1" t="str">
        <f>IF(ISBLANK(E113),"ručně doplnit",IF(E113="-","není ve výkazech",IF(C113="Rozvaha",VLOOKUP(E113,'řádky R'!$A:$B,2,0),IF(C113="Výsledovka",VLOOKUP(E113,'řádky V'!A:M,2,0)))))</f>
        <v>Závazky - podstatný vliv</v>
      </c>
      <c r="N113" s="1" t="str">
        <f>IF(ISBLANK(J113),"není alternativa",IF(J113="-","není ve výkazech",VLOOKUP(J113,'řádky R'!$A:$B,2,0)))</f>
        <v>není alternativa</v>
      </c>
      <c r="O113" s="19" t="s">
        <v>290</v>
      </c>
    </row>
    <row r="114" spans="1:15" x14ac:dyDescent="0.2">
      <c r="A114" s="18">
        <v>364</v>
      </c>
      <c r="B114" s="19" t="s">
        <v>114</v>
      </c>
      <c r="C114" s="19" t="s">
        <v>468</v>
      </c>
      <c r="D114" s="19" t="s">
        <v>360</v>
      </c>
      <c r="E114" s="36">
        <v>109</v>
      </c>
      <c r="F114" s="19" t="s">
        <v>275</v>
      </c>
      <c r="G114" s="19" t="s">
        <v>291</v>
      </c>
      <c r="H114" s="19" t="s">
        <v>280</v>
      </c>
      <c r="I114" s="1" t="str">
        <f>IF(ISBLANK(E114),"ručně doplnit",IF(E114="-","není ve výkazech",IF(C114="Rozvaha",VLOOKUP(E114,'řádky R'!$A:$B,2,0),IF(C114="Výsledovka",VLOOKUP(E114,'řádky V'!A:M,2,0)))))</f>
        <v>Závazky ke společníkům, členům družstva  a k účastníkům sdružení</v>
      </c>
      <c r="N114" s="1" t="str">
        <f>IF(ISBLANK(J114),"není alternativa",IF(J114="-","není ve výkazech",VLOOKUP(J114,'řádky R'!$A:$B,2,0)))</f>
        <v>není alternativa</v>
      </c>
      <c r="O114" s="19" t="s">
        <v>290</v>
      </c>
    </row>
    <row r="115" spans="1:15" x14ac:dyDescent="0.2">
      <c r="A115" s="18">
        <v>365</v>
      </c>
      <c r="B115" s="19" t="s">
        <v>115</v>
      </c>
      <c r="C115" s="19" t="s">
        <v>468</v>
      </c>
      <c r="D115" s="19" t="s">
        <v>360</v>
      </c>
      <c r="E115" s="36">
        <v>109</v>
      </c>
      <c r="F115" s="19" t="s">
        <v>275</v>
      </c>
      <c r="G115" s="19" t="s">
        <v>291</v>
      </c>
      <c r="H115" s="19" t="s">
        <v>280</v>
      </c>
      <c r="I115" s="1" t="str">
        <f>IF(ISBLANK(E115),"ručně doplnit",IF(E115="-","není ve výkazech",IF(C115="Rozvaha",VLOOKUP(E115,'řádky R'!$A:$B,2,0),IF(C115="Výsledovka",VLOOKUP(E115,'řádky V'!A:M,2,0)))))</f>
        <v>Závazky ke společníkům, členům družstva  a k účastníkům sdružení</v>
      </c>
      <c r="J115" s="5">
        <v>98</v>
      </c>
      <c r="K115" s="19" t="s">
        <v>275</v>
      </c>
      <c r="L115" s="19" t="s">
        <v>286</v>
      </c>
      <c r="M115" s="19" t="s">
        <v>280</v>
      </c>
      <c r="N115" s="1" t="str">
        <f>IF(ISBLANK(J115),"není alternativa",IF(J115="-","není ve výkazech",VLOOKUP(J115,'řádky R'!$A:$B,2,0)))</f>
        <v>Závazky ke společníkům, členům družstva  a k účastníkům sdružení</v>
      </c>
      <c r="O115" s="19" t="s">
        <v>290</v>
      </c>
    </row>
    <row r="116" spans="1:15" x14ac:dyDescent="0.2">
      <c r="A116" s="18">
        <v>366</v>
      </c>
      <c r="B116" s="19" t="s">
        <v>116</v>
      </c>
      <c r="C116" s="19" t="s">
        <v>468</v>
      </c>
      <c r="D116" s="19" t="s">
        <v>360</v>
      </c>
      <c r="E116" s="36">
        <v>109</v>
      </c>
      <c r="F116" s="19" t="s">
        <v>275</v>
      </c>
      <c r="G116" s="19" t="s">
        <v>291</v>
      </c>
      <c r="H116" s="19" t="s">
        <v>280</v>
      </c>
      <c r="I116" s="1" t="str">
        <f>IF(ISBLANK(E116),"ručně doplnit",IF(E116="-","není ve výkazech",IF(C116="Rozvaha",VLOOKUP(E116,'řádky R'!$A:$B,2,0),IF(C116="Výsledovka",VLOOKUP(E116,'řádky V'!A:M,2,0)))))</f>
        <v>Závazky ke společníkům, členům družstva  a k účastníkům sdružení</v>
      </c>
      <c r="N116" s="1" t="str">
        <f>IF(ISBLANK(J116),"není alternativa",IF(J116="-","není ve výkazech",VLOOKUP(J116,'řádky R'!$A:$B,2,0)))</f>
        <v>není alternativa</v>
      </c>
      <c r="O116" s="19" t="s">
        <v>290</v>
      </c>
    </row>
    <row r="117" spans="1:15" x14ac:dyDescent="0.2">
      <c r="A117" s="18">
        <v>367</v>
      </c>
      <c r="B117" s="19" t="s">
        <v>117</v>
      </c>
      <c r="C117" s="19" t="s">
        <v>468</v>
      </c>
      <c r="D117" s="19" t="s">
        <v>360</v>
      </c>
      <c r="E117" s="36">
        <v>109</v>
      </c>
      <c r="F117" s="19" t="s">
        <v>275</v>
      </c>
      <c r="G117" s="19" t="s">
        <v>291</v>
      </c>
      <c r="H117" s="19" t="s">
        <v>280</v>
      </c>
      <c r="I117" s="1" t="str">
        <f>IF(ISBLANK(E117),"ručně doplnit",IF(E117="-","není ve výkazech",IF(C117="Rozvaha",VLOOKUP(E117,'řádky R'!$A:$B,2,0),IF(C117="Výsledovka",VLOOKUP(E117,'řádky V'!A:M,2,0)))))</f>
        <v>Závazky ke společníkům, členům družstva  a k účastníkům sdružení</v>
      </c>
      <c r="J117" s="5">
        <v>98</v>
      </c>
      <c r="K117" s="19" t="s">
        <v>275</v>
      </c>
      <c r="L117" s="19" t="s">
        <v>286</v>
      </c>
      <c r="M117" s="19" t="s">
        <v>280</v>
      </c>
      <c r="N117" s="1" t="str">
        <f>IF(ISBLANK(J117),"není alternativa",IF(J117="-","není ve výkazech",VLOOKUP(J117,'řádky R'!$A:$B,2,0)))</f>
        <v>Závazky ke společníkům, členům družstva  a k účastníkům sdružení</v>
      </c>
      <c r="O117" s="19" t="s">
        <v>290</v>
      </c>
    </row>
    <row r="118" spans="1:15" x14ac:dyDescent="0.2">
      <c r="A118" s="18">
        <v>368</v>
      </c>
      <c r="B118" s="19" t="s">
        <v>118</v>
      </c>
      <c r="C118" s="19" t="s">
        <v>468</v>
      </c>
      <c r="D118" s="19" t="s">
        <v>360</v>
      </c>
      <c r="E118" s="36">
        <v>109</v>
      </c>
      <c r="F118" s="19" t="s">
        <v>275</v>
      </c>
      <c r="G118" s="19" t="s">
        <v>291</v>
      </c>
      <c r="H118" s="19" t="s">
        <v>280</v>
      </c>
      <c r="I118" s="1" t="str">
        <f>IF(ISBLANK(E118),"ručně doplnit",IF(E118="-","není ve výkazech",IF(C118="Rozvaha",VLOOKUP(E118,'řádky R'!$A:$B,2,0),IF(C118="Výsledovka",VLOOKUP(E118,'řádky V'!A:M,2,0)))))</f>
        <v>Závazky ke společníkům, členům družstva  a k účastníkům sdružení</v>
      </c>
      <c r="J118" s="5">
        <v>98</v>
      </c>
      <c r="K118" s="19" t="s">
        <v>275</v>
      </c>
      <c r="L118" s="19" t="s">
        <v>286</v>
      </c>
      <c r="M118" s="19" t="s">
        <v>280</v>
      </c>
      <c r="N118" s="1" t="str">
        <f>IF(ISBLANK(J118),"není alternativa",IF(J118="-","není ve výkazech",VLOOKUP(J118,'řádky R'!$A:$B,2,0)))</f>
        <v>Závazky ke společníkům, členům družstva  a k účastníkům sdružení</v>
      </c>
      <c r="O118" s="19" t="s">
        <v>290</v>
      </c>
    </row>
    <row r="119" spans="1:15" x14ac:dyDescent="0.2">
      <c r="A119" s="18">
        <v>371</v>
      </c>
      <c r="B119" s="19" t="s">
        <v>119</v>
      </c>
      <c r="C119" s="19" t="s">
        <v>468</v>
      </c>
      <c r="D119" s="19" t="s">
        <v>333</v>
      </c>
      <c r="E119" s="36">
        <v>57</v>
      </c>
      <c r="F119" s="19" t="s">
        <v>309</v>
      </c>
      <c r="G119" s="19" t="s">
        <v>291</v>
      </c>
      <c r="H119" s="19" t="s">
        <v>287</v>
      </c>
      <c r="I119" s="1" t="str">
        <f>IF(ISBLANK(E119),"ručně doplnit",IF(E119="-","není ve výkazech",IF(C119="Rozvaha",VLOOKUP(E119,'řádky R'!$A:$B,2,0),IF(C119="Výsledovka",VLOOKUP(E119,'řádky V'!A:M,2,0)))))</f>
        <v>Jiné pohledávky</v>
      </c>
      <c r="J119" s="5">
        <v>46</v>
      </c>
      <c r="K119" s="19" t="s">
        <v>309</v>
      </c>
      <c r="L119" s="19" t="s">
        <v>286</v>
      </c>
      <c r="M119" s="19" t="s">
        <v>283</v>
      </c>
      <c r="N119" s="1" t="str">
        <f>IF(ISBLANK(J119),"není alternativa",IF(J119="-","není ve výkazech",VLOOKUP(J119,'řádky R'!$A:$B,2,0)))</f>
        <v>Jiné pohledávky</v>
      </c>
      <c r="O119" s="19" t="s">
        <v>290</v>
      </c>
    </row>
    <row r="120" spans="1:15" x14ac:dyDescent="0.2">
      <c r="A120" s="18">
        <v>372</v>
      </c>
      <c r="B120" s="19" t="s">
        <v>120</v>
      </c>
      <c r="C120" s="19" t="s">
        <v>468</v>
      </c>
      <c r="D120" s="19" t="s">
        <v>360</v>
      </c>
      <c r="E120" s="36">
        <v>116</v>
      </c>
      <c r="F120" s="19" t="s">
        <v>275</v>
      </c>
      <c r="G120" s="19" t="s">
        <v>291</v>
      </c>
      <c r="H120" s="19" t="s">
        <v>373</v>
      </c>
      <c r="I120" s="1" t="str">
        <f>IF(ISBLANK(E120),"ručně doplnit",IF(E120="-","není ve výkazech",IF(C120="Rozvaha",VLOOKUP(E120,'řádky R'!$A:$B,2,0),IF(C120="Výsledovka",VLOOKUP(E120,'řádky V'!A:M,2,0)))))</f>
        <v>Jiné závazky</v>
      </c>
      <c r="J120" s="5">
        <v>103</v>
      </c>
      <c r="K120" s="19" t="s">
        <v>275</v>
      </c>
      <c r="L120" s="19" t="s">
        <v>286</v>
      </c>
      <c r="M120" s="19" t="s">
        <v>287</v>
      </c>
      <c r="N120" s="1" t="str">
        <f>IF(ISBLANK(J120),"není alternativa",IF(J120="-","není ve výkazech",VLOOKUP(J120,'řádky R'!$A:$B,2,0)))</f>
        <v>Jiné závazky</v>
      </c>
      <c r="O120" s="19" t="s">
        <v>290</v>
      </c>
    </row>
    <row r="121" spans="1:15" x14ac:dyDescent="0.2">
      <c r="A121" s="18">
        <v>373</v>
      </c>
      <c r="B121" s="19" t="s">
        <v>121</v>
      </c>
      <c r="C121" s="19" t="s">
        <v>468</v>
      </c>
      <c r="D121" s="19" t="s">
        <v>407</v>
      </c>
      <c r="E121" s="36">
        <v>57</v>
      </c>
      <c r="F121" s="19" t="s">
        <v>309</v>
      </c>
      <c r="G121" s="19" t="s">
        <v>291</v>
      </c>
      <c r="H121" s="19" t="s">
        <v>287</v>
      </c>
      <c r="I121" s="1" t="str">
        <f>IF(ISBLANK(E121),"ručně doplnit",IF(E121="-","není ve výkazech",IF(C121="Rozvaha",VLOOKUP(E121,'řádky R'!$A:$B,2,0),IF(C121="Výsledovka",VLOOKUP(E121,'řádky V'!A:M,2,0)))))</f>
        <v>Jiné pohledávky</v>
      </c>
      <c r="J121" s="5">
        <v>116</v>
      </c>
      <c r="K121" s="19" t="s">
        <v>275</v>
      </c>
      <c r="L121" s="19" t="s">
        <v>291</v>
      </c>
      <c r="M121" s="19" t="s">
        <v>373</v>
      </c>
      <c r="N121" s="1" t="str">
        <f>IF(ISBLANK(J121),"není alternativa",IF(J121="-","není ve výkazech",VLOOKUP(J121,'řádky R'!$A:$B,2,0)))</f>
        <v>Jiné závazky</v>
      </c>
      <c r="O121" s="19" t="s">
        <v>290</v>
      </c>
    </row>
    <row r="122" spans="1:15" x14ac:dyDescent="0.2">
      <c r="A122" s="18">
        <v>374</v>
      </c>
      <c r="B122" s="19" t="s">
        <v>122</v>
      </c>
      <c r="C122" s="19" t="s">
        <v>468</v>
      </c>
      <c r="D122" s="19" t="s">
        <v>333</v>
      </c>
      <c r="E122" s="36">
        <v>57</v>
      </c>
      <c r="F122" s="19" t="s">
        <v>309</v>
      </c>
      <c r="G122" s="19" t="s">
        <v>291</v>
      </c>
      <c r="H122" s="19" t="s">
        <v>287</v>
      </c>
      <c r="I122" s="1" t="str">
        <f>IF(ISBLANK(E122),"ručně doplnit",IF(E122="-","není ve výkazech",IF(C122="Rozvaha",VLOOKUP(E122,'řádky R'!$A:$B,2,0),IF(C122="Výsledovka",VLOOKUP(E122,'řádky V'!A:M,2,0)))))</f>
        <v>Jiné pohledávky</v>
      </c>
      <c r="J122" s="5">
        <v>46</v>
      </c>
      <c r="K122" s="19" t="s">
        <v>309</v>
      </c>
      <c r="L122" s="19" t="s">
        <v>286</v>
      </c>
      <c r="M122" s="19" t="s">
        <v>283</v>
      </c>
      <c r="N122" s="1" t="str">
        <f>IF(ISBLANK(J122),"není alternativa",IF(J122="-","není ve výkazech",VLOOKUP(J122,'řádky R'!$A:$B,2,0)))</f>
        <v>Jiné pohledávky</v>
      </c>
      <c r="O122" s="19" t="s">
        <v>290</v>
      </c>
    </row>
    <row r="123" spans="1:15" x14ac:dyDescent="0.2">
      <c r="A123" s="18">
        <v>375</v>
      </c>
      <c r="B123" s="19" t="s">
        <v>123</v>
      </c>
      <c r="C123" s="19" t="s">
        <v>468</v>
      </c>
      <c r="D123" s="19" t="s">
        <v>333</v>
      </c>
      <c r="E123" s="36">
        <v>57</v>
      </c>
      <c r="F123" s="19" t="s">
        <v>309</v>
      </c>
      <c r="G123" s="19" t="s">
        <v>291</v>
      </c>
      <c r="H123" s="19" t="s">
        <v>287</v>
      </c>
      <c r="I123" s="1" t="str">
        <f>IF(ISBLANK(E123),"ručně doplnit",IF(E123="-","není ve výkazech",IF(C123="Rozvaha",VLOOKUP(E123,'řádky R'!$A:$B,2,0),IF(C123="Výsledovka",VLOOKUP(E123,'řádky V'!A:M,2,0)))))</f>
        <v>Jiné pohledávky</v>
      </c>
      <c r="J123" s="5">
        <v>46</v>
      </c>
      <c r="K123" s="19" t="s">
        <v>309</v>
      </c>
      <c r="L123" s="19" t="s">
        <v>286</v>
      </c>
      <c r="M123" s="19" t="s">
        <v>283</v>
      </c>
      <c r="N123" s="1" t="str">
        <f>IF(ISBLANK(J123),"není alternativa",IF(J123="-","není ve výkazech",VLOOKUP(J123,'řádky R'!$A:$B,2,0)))</f>
        <v>Jiné pohledávky</v>
      </c>
      <c r="O123" s="19" t="s">
        <v>290</v>
      </c>
    </row>
    <row r="124" spans="1:15" x14ac:dyDescent="0.2">
      <c r="A124" s="18">
        <v>376</v>
      </c>
      <c r="B124" s="19" t="s">
        <v>124</v>
      </c>
      <c r="C124" s="19" t="s">
        <v>468</v>
      </c>
      <c r="D124" s="19" t="s">
        <v>333</v>
      </c>
      <c r="E124" s="36">
        <v>57</v>
      </c>
      <c r="F124" s="19" t="s">
        <v>309</v>
      </c>
      <c r="G124" s="19" t="s">
        <v>291</v>
      </c>
      <c r="H124" s="19" t="s">
        <v>287</v>
      </c>
      <c r="I124" s="1" t="str">
        <f>IF(ISBLANK(E124),"ručně doplnit",IF(E124="-","není ve výkazech",IF(C124="Rozvaha",VLOOKUP(E124,'řádky R'!$A:$B,2,0),IF(C124="Výsledovka",VLOOKUP(E124,'řádky V'!A:M,2,0)))))</f>
        <v>Jiné pohledávky</v>
      </c>
      <c r="J124" s="5">
        <v>46</v>
      </c>
      <c r="K124" s="19" t="s">
        <v>309</v>
      </c>
      <c r="L124" s="19" t="s">
        <v>286</v>
      </c>
      <c r="M124" s="19" t="s">
        <v>283</v>
      </c>
      <c r="N124" s="1" t="str">
        <f>IF(ISBLANK(J124),"není alternativa",IF(J124="-","není ve výkazech",VLOOKUP(J124,'řádky R'!$A:$B,2,0)))</f>
        <v>Jiné pohledávky</v>
      </c>
      <c r="O124" s="19" t="s">
        <v>290</v>
      </c>
    </row>
    <row r="125" spans="1:15" x14ac:dyDescent="0.2">
      <c r="A125" s="18">
        <v>377</v>
      </c>
      <c r="B125" s="19" t="s">
        <v>125</v>
      </c>
      <c r="C125" s="19" t="s">
        <v>468</v>
      </c>
      <c r="D125" s="19" t="s">
        <v>360</v>
      </c>
      <c r="E125" s="36">
        <v>116</v>
      </c>
      <c r="F125" s="19" t="s">
        <v>275</v>
      </c>
      <c r="G125" s="19" t="s">
        <v>291</v>
      </c>
      <c r="H125" s="19" t="s">
        <v>373</v>
      </c>
      <c r="I125" s="1" t="str">
        <f>IF(ISBLANK(E125),"ručně doplnit",IF(E125="-","není ve výkazech",IF(C125="Rozvaha",VLOOKUP(E125,'řádky R'!$A:$B,2,0),IF(C125="Výsledovka",VLOOKUP(E125,'řádky V'!A:M,2,0)))))</f>
        <v>Jiné závazky</v>
      </c>
      <c r="J125" s="5">
        <v>103</v>
      </c>
      <c r="K125" s="19" t="s">
        <v>275</v>
      </c>
      <c r="L125" s="19" t="s">
        <v>286</v>
      </c>
      <c r="M125" s="19" t="s">
        <v>287</v>
      </c>
      <c r="N125" s="1" t="str">
        <f>IF(ISBLANK(J125),"není alternativa",IF(J125="-","není ve výkazech",VLOOKUP(J125,'řádky R'!$A:$B,2,0)))</f>
        <v>Jiné závazky</v>
      </c>
      <c r="O125" s="19" t="s">
        <v>290</v>
      </c>
    </row>
    <row r="126" spans="1:15" x14ac:dyDescent="0.2">
      <c r="A126" s="18">
        <v>378</v>
      </c>
      <c r="B126" s="19" t="s">
        <v>126</v>
      </c>
      <c r="C126" s="19" t="s">
        <v>468</v>
      </c>
      <c r="D126" s="19" t="s">
        <v>333</v>
      </c>
      <c r="E126" s="36">
        <v>57</v>
      </c>
      <c r="F126" s="19" t="s">
        <v>309</v>
      </c>
      <c r="G126" s="19" t="s">
        <v>291</v>
      </c>
      <c r="H126" s="19" t="s">
        <v>287</v>
      </c>
      <c r="I126" s="1" t="str">
        <f>IF(ISBLANK(E126),"ručně doplnit",IF(E126="-","není ve výkazech",IF(C126="Rozvaha",VLOOKUP(E126,'řádky R'!$A:$B,2,0),IF(C126="Výsledovka",VLOOKUP(E126,'řádky V'!A:M,2,0)))))</f>
        <v>Jiné pohledávky</v>
      </c>
      <c r="J126" s="5">
        <v>46</v>
      </c>
      <c r="K126" s="19" t="s">
        <v>309</v>
      </c>
      <c r="L126" s="19" t="s">
        <v>286</v>
      </c>
      <c r="M126" s="19" t="s">
        <v>283</v>
      </c>
      <c r="N126" s="1" t="str">
        <f>IF(ISBLANK(J126),"není alternativa",IF(J126="-","není ve výkazech",VLOOKUP(J126,'řádky R'!$A:$B,2,0)))</f>
        <v>Jiné pohledávky</v>
      </c>
      <c r="O126" s="19" t="s">
        <v>290</v>
      </c>
    </row>
    <row r="127" spans="1:15" x14ac:dyDescent="0.2">
      <c r="A127" s="18">
        <v>379</v>
      </c>
      <c r="B127" s="19" t="s">
        <v>127</v>
      </c>
      <c r="C127" s="19" t="s">
        <v>468</v>
      </c>
      <c r="D127" s="19" t="s">
        <v>360</v>
      </c>
      <c r="E127" s="36">
        <v>116</v>
      </c>
      <c r="F127" s="19" t="s">
        <v>275</v>
      </c>
      <c r="G127" s="19" t="s">
        <v>291</v>
      </c>
      <c r="H127" s="19" t="s">
        <v>373</v>
      </c>
      <c r="I127" s="1" t="str">
        <f>IF(ISBLANK(E127),"ručně doplnit",IF(E127="-","není ve výkazech",IF(C127="Rozvaha",VLOOKUP(E127,'řádky R'!$A:$B,2,0),IF(C127="Výsledovka",VLOOKUP(E127,'řádky V'!A:M,2,0)))))</f>
        <v>Jiné závazky</v>
      </c>
      <c r="J127" s="5">
        <v>103</v>
      </c>
      <c r="K127" s="19" t="s">
        <v>275</v>
      </c>
      <c r="L127" s="19" t="s">
        <v>286</v>
      </c>
      <c r="M127" s="19" t="s">
        <v>287</v>
      </c>
      <c r="N127" s="1" t="str">
        <f>IF(ISBLANK(J127),"není alternativa",IF(J127="-","není ve výkazech",VLOOKUP(J127,'řádky R'!$A:$B,2,0)))</f>
        <v>Jiné závazky</v>
      </c>
      <c r="O127" s="19" t="s">
        <v>290</v>
      </c>
    </row>
    <row r="128" spans="1:15" x14ac:dyDescent="0.2">
      <c r="A128" s="18">
        <v>381</v>
      </c>
      <c r="B128" s="19" t="s">
        <v>128</v>
      </c>
      <c r="C128" s="19" t="s">
        <v>468</v>
      </c>
      <c r="D128" s="19" t="s">
        <v>333</v>
      </c>
      <c r="E128" s="36">
        <v>64</v>
      </c>
      <c r="F128" s="19" t="s">
        <v>325</v>
      </c>
      <c r="G128" s="19" t="s">
        <v>276</v>
      </c>
      <c r="H128" s="19" t="s">
        <v>277</v>
      </c>
      <c r="I128" s="1" t="str">
        <f>IF(ISBLANK(E128),"ručně doplnit",IF(E128="-","není ve výkazech",IF(C128="Rozvaha",VLOOKUP(E128,'řádky R'!$A:$B,2,0),IF(C128="Výsledovka",VLOOKUP(E128,'řádky V'!A:M,2,0)))))</f>
        <v xml:space="preserve">Náklady příštích období </v>
      </c>
      <c r="N128" s="1" t="str">
        <f>IF(ISBLANK(J128),"není alternativa",IF(J128="-","není ve výkazech",VLOOKUP(J128,'řádky R'!$A:$B,2,0)))</f>
        <v>není alternativa</v>
      </c>
      <c r="O128" s="19" t="s">
        <v>290</v>
      </c>
    </row>
    <row r="129" spans="1:15" x14ac:dyDescent="0.2">
      <c r="A129" s="18">
        <v>382</v>
      </c>
      <c r="B129" s="19" t="s">
        <v>129</v>
      </c>
      <c r="C129" s="19" t="s">
        <v>468</v>
      </c>
      <c r="D129" s="19" t="s">
        <v>333</v>
      </c>
      <c r="E129" s="36">
        <v>65</v>
      </c>
      <c r="F129" s="19" t="s">
        <v>325</v>
      </c>
      <c r="G129" s="19" t="s">
        <v>276</v>
      </c>
      <c r="H129" s="19" t="s">
        <v>278</v>
      </c>
      <c r="I129" s="1" t="str">
        <f>IF(ISBLANK(E129),"ručně doplnit",IF(E129="-","není ve výkazech",IF(C129="Rozvaha",VLOOKUP(E129,'řádky R'!$A:$B,2,0),IF(C129="Výsledovka",VLOOKUP(E129,'řádky V'!A:M,2,0)))))</f>
        <v>Komplexní náklady příštích období</v>
      </c>
      <c r="N129" s="1" t="str">
        <f>IF(ISBLANK(J129),"není alternativa",IF(J129="-","není ve výkazech",VLOOKUP(J129,'řádky R'!$A:$B,2,0)))</f>
        <v>není alternativa</v>
      </c>
      <c r="O129" s="19" t="s">
        <v>290</v>
      </c>
    </row>
    <row r="130" spans="1:15" x14ac:dyDescent="0.2">
      <c r="A130" s="18">
        <v>383</v>
      </c>
      <c r="B130" s="19" t="s">
        <v>130</v>
      </c>
      <c r="C130" s="19" t="s">
        <v>468</v>
      </c>
      <c r="D130" s="19" t="s">
        <v>360</v>
      </c>
      <c r="E130" s="36">
        <v>122</v>
      </c>
      <c r="F130" s="19" t="s">
        <v>309</v>
      </c>
      <c r="G130" s="19" t="s">
        <v>276</v>
      </c>
      <c r="H130" s="19" t="s">
        <v>277</v>
      </c>
      <c r="I130" s="1" t="str">
        <f>IF(ISBLANK(E130),"ručně doplnit",IF(E130="-","není ve výkazech",IF(C130="Rozvaha",VLOOKUP(E130,'řádky R'!$A:$B,2,0),IF(C130="Výsledovka",VLOOKUP(E130,'řádky V'!A:M,2,0)))))</f>
        <v>Výdaje příštích období</v>
      </c>
      <c r="N130" s="1" t="str">
        <f>IF(ISBLANK(J130),"není alternativa",IF(J130="-","není ve výkazech",VLOOKUP(J130,'řádky R'!$A:$B,2,0)))</f>
        <v>není alternativa</v>
      </c>
      <c r="O130" s="19" t="s">
        <v>290</v>
      </c>
    </row>
    <row r="131" spans="1:15" x14ac:dyDescent="0.2">
      <c r="A131" s="18">
        <v>384</v>
      </c>
      <c r="B131" s="19" t="s">
        <v>131</v>
      </c>
      <c r="C131" s="19" t="s">
        <v>468</v>
      </c>
      <c r="D131" s="19" t="s">
        <v>360</v>
      </c>
      <c r="E131" s="36">
        <v>123</v>
      </c>
      <c r="F131" s="19" t="s">
        <v>309</v>
      </c>
      <c r="G131" s="19" t="s">
        <v>276</v>
      </c>
      <c r="H131" s="19" t="s">
        <v>278</v>
      </c>
      <c r="I131" s="1" t="str">
        <f>IF(ISBLANK(E131),"ručně doplnit",IF(E131="-","není ve výkazech",IF(C131="Rozvaha",VLOOKUP(E131,'řádky R'!$A:$B,2,0),IF(C131="Výsledovka",VLOOKUP(E131,'řádky V'!A:M,2,0)))))</f>
        <v xml:space="preserve">Výnosy příštích období </v>
      </c>
      <c r="N131" s="1" t="str">
        <f>IF(ISBLANK(J131),"není alternativa",IF(J131="-","není ve výkazech",VLOOKUP(J131,'řádky R'!$A:$B,2,0)))</f>
        <v>není alternativa</v>
      </c>
      <c r="O131" s="19" t="s">
        <v>290</v>
      </c>
    </row>
    <row r="132" spans="1:15" x14ac:dyDescent="0.2">
      <c r="A132" s="18">
        <v>385</v>
      </c>
      <c r="B132" s="19" t="s">
        <v>132</v>
      </c>
      <c r="C132" s="19" t="s">
        <v>468</v>
      </c>
      <c r="D132" s="19" t="s">
        <v>333</v>
      </c>
      <c r="E132" s="36">
        <v>66</v>
      </c>
      <c r="F132" s="19" t="s">
        <v>325</v>
      </c>
      <c r="G132" s="19" t="s">
        <v>276</v>
      </c>
      <c r="H132" s="19" t="s">
        <v>279</v>
      </c>
      <c r="I132" s="1" t="str">
        <f>IF(ISBLANK(E132),"ručně doplnit",IF(E132="-","není ve výkazech",IF(C132="Rozvaha",VLOOKUP(E132,'řádky R'!$A:$B,2,0),IF(C132="Výsledovka",VLOOKUP(E132,'řádky V'!A:M,2,0)))))</f>
        <v>Příjmy příštích období</v>
      </c>
      <c r="N132" s="1" t="str">
        <f>IF(ISBLANK(J132),"není alternativa",IF(J132="-","není ve výkazech",VLOOKUP(J132,'řádky R'!$A:$B,2,0)))</f>
        <v>není alternativa</v>
      </c>
      <c r="O132" s="19" t="s">
        <v>290</v>
      </c>
    </row>
    <row r="133" spans="1:15" x14ac:dyDescent="0.2">
      <c r="A133" s="18">
        <v>388</v>
      </c>
      <c r="B133" s="19" t="s">
        <v>133</v>
      </c>
      <c r="C133" s="19" t="s">
        <v>468</v>
      </c>
      <c r="D133" s="19" t="s">
        <v>333</v>
      </c>
      <c r="E133" s="36">
        <v>56</v>
      </c>
      <c r="F133" s="19" t="s">
        <v>309</v>
      </c>
      <c r="G133" s="19" t="s">
        <v>291</v>
      </c>
      <c r="H133" s="19" t="s">
        <v>284</v>
      </c>
      <c r="I133" s="1" t="str">
        <f>IF(ISBLANK(E133),"ručně doplnit",IF(E133="-","není ve výkazech",IF(C133="Rozvaha",VLOOKUP(E133,'řádky R'!$A:$B,2,0),IF(C133="Výsledovka",VLOOKUP(E133,'řádky V'!A:M,2,0)))))</f>
        <v>Dohadné účty aktivní</v>
      </c>
      <c r="J133" s="5">
        <v>45</v>
      </c>
      <c r="K133" s="19" t="s">
        <v>309</v>
      </c>
      <c r="L133" s="19" t="s">
        <v>286</v>
      </c>
      <c r="M133" s="19" t="s">
        <v>282</v>
      </c>
      <c r="N133" s="1" t="str">
        <f>IF(ISBLANK(J133),"není alternativa",IF(J133="-","není ve výkazech",VLOOKUP(J133,'řádky R'!$A:$B,2,0)))</f>
        <v>Dohadné účty aktivní</v>
      </c>
      <c r="O133" s="19" t="s">
        <v>290</v>
      </c>
    </row>
    <row r="134" spans="1:15" x14ac:dyDescent="0.2">
      <c r="A134" s="18">
        <v>389</v>
      </c>
      <c r="B134" s="19" t="s">
        <v>134</v>
      </c>
      <c r="C134" s="19" t="s">
        <v>468</v>
      </c>
      <c r="D134" s="19" t="s">
        <v>360</v>
      </c>
      <c r="E134" s="36">
        <v>115</v>
      </c>
      <c r="F134" s="19" t="s">
        <v>275</v>
      </c>
      <c r="G134" s="19" t="s">
        <v>291</v>
      </c>
      <c r="H134" s="19" t="s">
        <v>372</v>
      </c>
      <c r="I134" s="1" t="str">
        <f>IF(ISBLANK(E134),"ručně doplnit",IF(E134="-","není ve výkazech",IF(C134="Rozvaha",VLOOKUP(E134,'řádky R'!$A:$B,2,0),IF(C134="Výsledovka",VLOOKUP(E134,'řádky V'!A:M,2,0)))))</f>
        <v xml:space="preserve">Dohadné účty pasivní </v>
      </c>
      <c r="J134" s="5">
        <v>102</v>
      </c>
      <c r="K134" s="19" t="s">
        <v>275</v>
      </c>
      <c r="L134" s="19" t="s">
        <v>286</v>
      </c>
      <c r="M134" s="19" t="s">
        <v>284</v>
      </c>
      <c r="N134" s="1" t="str">
        <f>IF(ISBLANK(J134),"není alternativa",IF(J134="-","není ve výkazech",VLOOKUP(J134,'řádky R'!$A:$B,2,0)))</f>
        <v>Dohadné účty pasívní</v>
      </c>
      <c r="O134" s="19" t="s">
        <v>290</v>
      </c>
    </row>
    <row r="135" spans="1:15" x14ac:dyDescent="0.2">
      <c r="A135" s="18">
        <v>391</v>
      </c>
      <c r="B135" s="19" t="s">
        <v>135</v>
      </c>
      <c r="C135" s="19" t="s">
        <v>468</v>
      </c>
      <c r="D135" s="19" t="s">
        <v>333</v>
      </c>
      <c r="I135" s="1" t="str">
        <f>IF(ISBLANK(E135),"ručně doplnit",IF(E135="-","není ve výkazech",IF(C135="Rozvaha",VLOOKUP(E135,'řádky R'!$A:$B,2,0),IF(C135="Výsledovka",VLOOKUP(E135,'řádky V'!A:M,2,0)))))</f>
        <v>ručně doplnit</v>
      </c>
      <c r="N135" s="1" t="str">
        <f>IF(ISBLANK(J135),"není alternativa",IF(J135="-","není ve výkazech",VLOOKUP(J135,'řádky R'!$A:$B,2,0)))</f>
        <v>není alternativa</v>
      </c>
      <c r="O135" s="19" t="s">
        <v>292</v>
      </c>
    </row>
    <row r="136" spans="1:15" x14ac:dyDescent="0.2">
      <c r="A136" s="18">
        <v>395</v>
      </c>
      <c r="B136" s="19" t="s">
        <v>136</v>
      </c>
      <c r="C136" s="19" t="s">
        <v>468</v>
      </c>
      <c r="D136" s="19" t="s">
        <v>333</v>
      </c>
      <c r="E136" s="36" t="s">
        <v>306</v>
      </c>
      <c r="I136" s="1" t="str">
        <f>IF(ISBLANK(E136),"ručně doplnit",IF(E136="-","není ve výkazech",IF(C136="Rozvaha",VLOOKUP(E136,'řádky R'!$A:$B,2,0),IF(C136="Výsledovka",VLOOKUP(E136,'řádky V'!A:M,2,0)))))</f>
        <v>není ve výkazech</v>
      </c>
      <c r="N136" s="1" t="str">
        <f>IF(ISBLANK(J136),"není alternativa",IF(J136="-","není ve výkazech",VLOOKUP(J136,'řádky R'!$A:$B,2,0)))</f>
        <v>není alternativa</v>
      </c>
      <c r="O136" s="19" t="s">
        <v>290</v>
      </c>
    </row>
    <row r="137" spans="1:15" x14ac:dyDescent="0.2">
      <c r="A137" s="18">
        <v>398</v>
      </c>
      <c r="B137" s="19" t="s">
        <v>137</v>
      </c>
      <c r="C137" s="19" t="s">
        <v>468</v>
      </c>
      <c r="D137" s="19" t="s">
        <v>333</v>
      </c>
      <c r="E137" s="36">
        <v>52</v>
      </c>
      <c r="F137" s="19" t="s">
        <v>309</v>
      </c>
      <c r="G137" s="19" t="s">
        <v>291</v>
      </c>
      <c r="H137" s="19" t="s">
        <v>280</v>
      </c>
      <c r="I137" s="1" t="str">
        <f>IF(ISBLANK(E137),"ručně doplnit",IF(E137="-","není ve výkazech",IF(C137="Rozvaha",VLOOKUP(E137,'řádky R'!$A:$B,2,0),IF(C137="Výsledovka",VLOOKUP(E137,'řádky V'!A:M,2,0)))))</f>
        <v>Pohledávky za společníky, členy družstva  a za účastníky sdružení</v>
      </c>
      <c r="J137" s="5">
        <v>109</v>
      </c>
      <c r="K137" s="19" t="s">
        <v>275</v>
      </c>
      <c r="L137" s="19" t="s">
        <v>291</v>
      </c>
      <c r="M137" s="19" t="s">
        <v>280</v>
      </c>
      <c r="N137" s="1" t="str">
        <f>IF(ISBLANK(J137),"není alternativa",IF(J137="-","není ve výkazech",VLOOKUP(J137,'řádky R'!$A:$B,2,0)))</f>
        <v>Závazky ke společníkům, členům družstva  a k účastníkům sdružení</v>
      </c>
      <c r="O137" s="19" t="s">
        <v>290</v>
      </c>
    </row>
    <row r="138" spans="1:15" x14ac:dyDescent="0.2">
      <c r="A138" s="18">
        <v>411</v>
      </c>
      <c r="B138" s="19" t="s">
        <v>138</v>
      </c>
      <c r="C138" s="19" t="s">
        <v>468</v>
      </c>
      <c r="D138" s="19" t="s">
        <v>360</v>
      </c>
      <c r="E138" s="36">
        <v>70</v>
      </c>
      <c r="F138" s="19" t="s">
        <v>274</v>
      </c>
      <c r="G138" s="19" t="s">
        <v>276</v>
      </c>
      <c r="H138" s="19" t="s">
        <v>277</v>
      </c>
      <c r="I138" s="1" t="str">
        <f>IF(ISBLANK(E138),"ručně doplnit",IF(E138="-","není ve výkazech",IF(C138="Rozvaha",VLOOKUP(E138,'řádky R'!$A:$B,2,0),IF(C138="Výsledovka",VLOOKUP(E138,'řádky V'!A:M,2,0)))))</f>
        <v>Základní kapitál</v>
      </c>
      <c r="N138" s="1" t="str">
        <f>IF(ISBLANK(J138),"není alternativa",IF(J138="-","není ve výkazech",VLOOKUP(J138,'řádky R'!$A:$B,2,0)))</f>
        <v>není alternativa</v>
      </c>
      <c r="O138" s="19" t="s">
        <v>290</v>
      </c>
    </row>
    <row r="139" spans="1:15" x14ac:dyDescent="0.2">
      <c r="A139" s="18">
        <v>412</v>
      </c>
      <c r="B139" s="19" t="s">
        <v>139</v>
      </c>
      <c r="C139" s="19" t="s">
        <v>468</v>
      </c>
      <c r="D139" s="19" t="s">
        <v>360</v>
      </c>
      <c r="E139" s="36">
        <v>74</v>
      </c>
      <c r="F139" s="19" t="s">
        <v>274</v>
      </c>
      <c r="G139" s="19" t="s">
        <v>286</v>
      </c>
      <c r="H139" s="19" t="s">
        <v>277</v>
      </c>
      <c r="I139" s="1" t="str">
        <f>IF(ISBLANK(E139),"ručně doplnit",IF(E139="-","není ve výkazech",IF(C139="Rozvaha",VLOOKUP(E139,'řádky R'!$A:$B,2,0),IF(C139="Výsledovka",VLOOKUP(E139,'řádky V'!A:M,2,0)))))</f>
        <v>Emisní ážio</v>
      </c>
      <c r="N139" s="1" t="str">
        <f>IF(ISBLANK(J139),"není alternativa",IF(J139="-","není ve výkazech",VLOOKUP(J139,'řádky R'!$A:$B,2,0)))</f>
        <v>není alternativa</v>
      </c>
      <c r="O139" s="19" t="s">
        <v>290</v>
      </c>
    </row>
    <row r="140" spans="1:15" x14ac:dyDescent="0.2">
      <c r="A140" s="18">
        <v>413</v>
      </c>
      <c r="B140" s="19" t="s">
        <v>140</v>
      </c>
      <c r="C140" s="19" t="s">
        <v>468</v>
      </c>
      <c r="D140" s="19" t="s">
        <v>360</v>
      </c>
      <c r="E140" s="36">
        <v>75</v>
      </c>
      <c r="F140" s="19" t="s">
        <v>274</v>
      </c>
      <c r="G140" s="19" t="s">
        <v>286</v>
      </c>
      <c r="H140" s="19" t="s">
        <v>278</v>
      </c>
      <c r="I140" s="1" t="str">
        <f>IF(ISBLANK(E140),"ručně doplnit",IF(E140="-","není ve výkazech",IF(C140="Rozvaha",VLOOKUP(E140,'řádky R'!$A:$B,2,0),IF(C140="Výsledovka",VLOOKUP(E140,'řádky V'!A:M,2,0)))))</f>
        <v>Ostatní kapitálové fondy</v>
      </c>
      <c r="N140" s="1" t="str">
        <f>IF(ISBLANK(J140),"není alternativa",IF(J140="-","není ve výkazech",VLOOKUP(J140,'řádky R'!$A:$B,2,0)))</f>
        <v>není alternativa</v>
      </c>
      <c r="O140" s="19" t="s">
        <v>290</v>
      </c>
    </row>
    <row r="141" spans="1:15" x14ac:dyDescent="0.2">
      <c r="A141" s="18">
        <v>414</v>
      </c>
      <c r="B141" s="19" t="s">
        <v>141</v>
      </c>
      <c r="C141" s="19" t="s">
        <v>468</v>
      </c>
      <c r="D141" s="19" t="s">
        <v>360</v>
      </c>
      <c r="E141" s="36">
        <v>76</v>
      </c>
      <c r="F141" s="19" t="s">
        <v>274</v>
      </c>
      <c r="G141" s="19" t="s">
        <v>286</v>
      </c>
      <c r="H141" s="19" t="s">
        <v>279</v>
      </c>
      <c r="I141" s="1" t="str">
        <f>IF(ISBLANK(E141),"ručně doplnit",IF(E141="-","není ve výkazech",IF(C141="Rozvaha",VLOOKUP(E141,'řádky R'!$A:$B,2,0),IF(C141="Výsledovka",VLOOKUP(E141,'řádky V'!A:M,2,0)))))</f>
        <v>Oceňovací rozdíly z přecenění majetku a závazků</v>
      </c>
      <c r="N141" s="1" t="str">
        <f>IF(ISBLANK(J141),"není alternativa",IF(J141="-","není ve výkazech",VLOOKUP(J141,'řádky R'!$A:$B,2,0)))</f>
        <v>není alternativa</v>
      </c>
      <c r="O141" s="19" t="s">
        <v>290</v>
      </c>
    </row>
    <row r="142" spans="1:15" x14ac:dyDescent="0.2">
      <c r="A142" s="18">
        <v>416</v>
      </c>
      <c r="B142" s="19" t="s">
        <v>379</v>
      </c>
      <c r="C142" s="19" t="s">
        <v>468</v>
      </c>
      <c r="D142" s="19" t="s">
        <v>360</v>
      </c>
      <c r="E142" s="36">
        <v>77</v>
      </c>
      <c r="F142" s="19" t="s">
        <v>274</v>
      </c>
      <c r="G142" s="19" t="s">
        <v>286</v>
      </c>
      <c r="H142" s="19" t="s">
        <v>280</v>
      </c>
      <c r="I142" s="1" t="str">
        <f>IF(ISBLANK(E142),"ručně doplnit",IF(E142="-","není ve výkazech",IF(C142="Rozvaha",VLOOKUP(E142,'řádky R'!$A:$B,2,0),IF(C142="Výsledovka",VLOOKUP(E142,'řádky V'!A:M,2,0)))))</f>
        <v>Oceňovací rozdíly z přecenění při přeměnách společností</v>
      </c>
    </row>
    <row r="143" spans="1:15" x14ac:dyDescent="0.2">
      <c r="A143" s="18">
        <v>417</v>
      </c>
      <c r="B143" s="19" t="s">
        <v>142</v>
      </c>
      <c r="C143" s="19" t="s">
        <v>468</v>
      </c>
      <c r="D143" s="19" t="s">
        <v>360</v>
      </c>
      <c r="E143" s="36">
        <v>78</v>
      </c>
      <c r="F143" s="19" t="s">
        <v>274</v>
      </c>
      <c r="G143" s="19" t="s">
        <v>286</v>
      </c>
      <c r="H143" s="19" t="s">
        <v>281</v>
      </c>
      <c r="I143" s="1" t="str">
        <f>IF(ISBLANK(E143),"ručně doplnit",IF(E143="-","není ve výkazech",IF(C143="Rozvaha",VLOOKUP(E143,'řádky R'!$A:$B,2,0),IF(C143="Výsledovka",VLOOKUP(E143,'řádky V'!A:M,2,0)))))</f>
        <v>Rozdíly z přeměn společností</v>
      </c>
      <c r="N143" s="1" t="str">
        <f>IF(ISBLANK(J143),"není alternativa",IF(J143="-","není ve výkazech",VLOOKUP(J143,'řádky R'!$A:$B,2,0)))</f>
        <v>není alternativa</v>
      </c>
      <c r="O143" s="19" t="s">
        <v>290</v>
      </c>
    </row>
    <row r="144" spans="1:15" x14ac:dyDescent="0.2">
      <c r="A144" s="18">
        <v>418</v>
      </c>
      <c r="B144" s="19" t="s">
        <v>143</v>
      </c>
      <c r="C144" s="19" t="s">
        <v>468</v>
      </c>
      <c r="D144" s="19" t="s">
        <v>360</v>
      </c>
      <c r="E144" s="36">
        <v>79</v>
      </c>
      <c r="F144" s="19" t="s">
        <v>274</v>
      </c>
      <c r="G144" s="19" t="s">
        <v>286</v>
      </c>
      <c r="H144" s="19" t="s">
        <v>282</v>
      </c>
      <c r="I144" s="1" t="str">
        <f>IF(ISBLANK(E144),"ručně doplnit",IF(E144="-","není ve výkazech",IF(C144="Rozvaha",VLOOKUP(E144,'řádky R'!$A:$B,2,0),IF(C144="Výsledovka",VLOOKUP(E144,'řádky V'!A:M,2,0)))))</f>
        <v>Rozdíly z ocenění při přeměnách společností</v>
      </c>
      <c r="N144" s="1" t="str">
        <f>IF(ISBLANK(J144),"není alternativa",IF(J144="-","není ve výkazech",VLOOKUP(J144,'řádky R'!$A:$B,2,0)))</f>
        <v>není alternativa</v>
      </c>
      <c r="O144" s="19" t="s">
        <v>290</v>
      </c>
    </row>
    <row r="145" spans="1:15" x14ac:dyDescent="0.2">
      <c r="A145" s="18">
        <v>419</v>
      </c>
      <c r="B145" s="19" t="s">
        <v>144</v>
      </c>
      <c r="C145" s="19" t="s">
        <v>468</v>
      </c>
      <c r="D145" s="19" t="s">
        <v>360</v>
      </c>
      <c r="E145" s="36">
        <v>72</v>
      </c>
      <c r="F145" s="19" t="s">
        <v>274</v>
      </c>
      <c r="G145" s="19" t="s">
        <v>276</v>
      </c>
      <c r="H145" s="19" t="s">
        <v>279</v>
      </c>
      <c r="I145" s="1" t="str">
        <f>IF(ISBLANK(E145),"ručně doplnit",IF(E145="-","není ve výkazech",IF(C145="Rozvaha",VLOOKUP(E145,'řádky R'!$A:$B,2,0),IF(C145="Výsledovka",VLOOKUP(E145,'řádky V'!A:M,2,0)))))</f>
        <v>Změny základního kapitálu</v>
      </c>
      <c r="N145" s="1" t="str">
        <f>IF(ISBLANK(J145),"není alternativa",IF(J145="-","není ve výkazech",VLOOKUP(J145,'řádky R'!$A:$B,2,0)))</f>
        <v>není alternativa</v>
      </c>
      <c r="O145" s="19" t="s">
        <v>290</v>
      </c>
    </row>
    <row r="146" spans="1:15" x14ac:dyDescent="0.2">
      <c r="A146" s="18">
        <v>421</v>
      </c>
      <c r="B146" s="19" t="s">
        <v>145</v>
      </c>
      <c r="C146" s="19" t="s">
        <v>468</v>
      </c>
      <c r="D146" s="19" t="s">
        <v>360</v>
      </c>
      <c r="E146" s="36">
        <v>81</v>
      </c>
      <c r="F146" s="19" t="s">
        <v>274</v>
      </c>
      <c r="G146" s="19" t="s">
        <v>291</v>
      </c>
      <c r="H146" s="19" t="s">
        <v>277</v>
      </c>
      <c r="I146" s="1" t="str">
        <f>IF(ISBLANK(E146),"ručně doplnit",IF(E146="-","není ve výkazech",IF(C146="Rozvaha",VLOOKUP(E146,'řádky R'!$A:$B,2,0),IF(C146="Výsledovka",VLOOKUP(E146,'řádky V'!A:M,2,0)))))</f>
        <v>Zákonný rezervní fond / Nedělitelný fond</v>
      </c>
      <c r="N146" s="1" t="str">
        <f>IF(ISBLANK(J146),"není alternativa",IF(J146="-","není ve výkazech",VLOOKUP(J146,'řádky R'!$A:$B,2,0)))</f>
        <v>není alternativa</v>
      </c>
      <c r="O146" s="19" t="s">
        <v>290</v>
      </c>
    </row>
    <row r="147" spans="1:15" x14ac:dyDescent="0.2">
      <c r="A147" s="18">
        <v>422</v>
      </c>
      <c r="B147" s="19" t="s">
        <v>146</v>
      </c>
      <c r="C147" s="19" t="s">
        <v>468</v>
      </c>
      <c r="D147" s="19" t="s">
        <v>360</v>
      </c>
      <c r="E147" s="36">
        <v>81</v>
      </c>
      <c r="F147" s="19" t="s">
        <v>274</v>
      </c>
      <c r="G147" s="19" t="s">
        <v>291</v>
      </c>
      <c r="H147" s="19" t="s">
        <v>277</v>
      </c>
      <c r="I147" s="1" t="str">
        <f>IF(ISBLANK(E147),"ručně doplnit",IF(E147="-","není ve výkazech",IF(C147="Rozvaha",VLOOKUP(E147,'řádky R'!$A:$B,2,0),IF(C147="Výsledovka",VLOOKUP(E147,'řádky V'!A:M,2,0)))))</f>
        <v>Zákonný rezervní fond / Nedělitelný fond</v>
      </c>
      <c r="N147" s="1" t="str">
        <f>IF(ISBLANK(J147),"není alternativa",IF(J147="-","není ve výkazech",VLOOKUP(J147,'řádky R'!$A:$B,2,0)))</f>
        <v>není alternativa</v>
      </c>
      <c r="O147" s="19" t="s">
        <v>290</v>
      </c>
    </row>
    <row r="148" spans="1:15" x14ac:dyDescent="0.2">
      <c r="A148" s="18">
        <v>423</v>
      </c>
      <c r="B148" s="19" t="s">
        <v>147</v>
      </c>
      <c r="C148" s="19" t="s">
        <v>468</v>
      </c>
      <c r="D148" s="19" t="s">
        <v>360</v>
      </c>
      <c r="E148" s="36">
        <v>82</v>
      </c>
      <c r="F148" s="19" t="s">
        <v>274</v>
      </c>
      <c r="G148" s="19" t="s">
        <v>291</v>
      </c>
      <c r="H148" s="19" t="s">
        <v>278</v>
      </c>
      <c r="I148" s="1" t="str">
        <f>IF(ISBLANK(E148),"ručně doplnit",IF(E148="-","není ve výkazech",IF(C148="Rozvaha",VLOOKUP(E148,'řádky R'!$A:$B,2,0),IF(C148="Výsledovka",VLOOKUP(E148,'řádky V'!A:M,2,0)))))</f>
        <v>Statutární a ostatní fondy</v>
      </c>
      <c r="N148" s="1" t="str">
        <f>IF(ISBLANK(J148),"není alternativa",IF(J148="-","není ve výkazech",VLOOKUP(J148,'řádky R'!$A:$B,2,0)))</f>
        <v>není alternativa</v>
      </c>
      <c r="O148" s="19" t="s">
        <v>290</v>
      </c>
    </row>
    <row r="149" spans="1:15" x14ac:dyDescent="0.2">
      <c r="A149" s="18">
        <v>426</v>
      </c>
      <c r="B149" s="19" t="s">
        <v>148</v>
      </c>
      <c r="C149" s="19" t="s">
        <v>468</v>
      </c>
      <c r="D149" s="19" t="s">
        <v>360</v>
      </c>
      <c r="E149" s="36">
        <v>82</v>
      </c>
      <c r="F149" s="19" t="s">
        <v>274</v>
      </c>
      <c r="G149" s="19" t="s">
        <v>291</v>
      </c>
      <c r="H149" s="19" t="s">
        <v>278</v>
      </c>
      <c r="I149" s="1" t="str">
        <f>IF(ISBLANK(E149),"ručně doplnit",IF(E149="-","není ve výkazech",IF(C149="Rozvaha",VLOOKUP(E149,'řádky R'!$A:$B,2,0),IF(C149="Výsledovka",VLOOKUP(E149,'řádky V'!A:M,2,0)))))</f>
        <v>Statutární a ostatní fondy</v>
      </c>
      <c r="N149" s="1" t="str">
        <f>IF(ISBLANK(J149),"není alternativa",IF(J149="-","není ve výkazech",VLOOKUP(J149,'řádky R'!$A:$B,2,0)))</f>
        <v>není alternativa</v>
      </c>
      <c r="O149" s="19" t="s">
        <v>290</v>
      </c>
    </row>
    <row r="150" spans="1:15" x14ac:dyDescent="0.2">
      <c r="A150" s="18">
        <v>427</v>
      </c>
      <c r="B150" s="19" t="s">
        <v>149</v>
      </c>
      <c r="C150" s="19" t="s">
        <v>468</v>
      </c>
      <c r="D150" s="19" t="s">
        <v>360</v>
      </c>
      <c r="E150" s="36">
        <v>82</v>
      </c>
      <c r="F150" s="19" t="s">
        <v>274</v>
      </c>
      <c r="G150" s="19" t="s">
        <v>291</v>
      </c>
      <c r="H150" s="19" t="s">
        <v>278</v>
      </c>
      <c r="I150" s="1" t="str">
        <f>IF(ISBLANK(E150),"ručně doplnit",IF(E150="-","není ve výkazech",IF(C150="Rozvaha",VLOOKUP(E150,'řádky R'!$A:$B,2,0),IF(C150="Výsledovka",VLOOKUP(E150,'řádky V'!A:M,2,0)))))</f>
        <v>Statutární a ostatní fondy</v>
      </c>
      <c r="N150" s="1" t="str">
        <f>IF(ISBLANK(J150),"není alternativa",IF(J150="-","není ve výkazech",VLOOKUP(J150,'řádky R'!$A:$B,2,0)))</f>
        <v>není alternativa</v>
      </c>
      <c r="O150" s="19" t="s">
        <v>290</v>
      </c>
    </row>
    <row r="151" spans="1:15" x14ac:dyDescent="0.2">
      <c r="A151" s="18">
        <v>428</v>
      </c>
      <c r="B151" s="19" t="s">
        <v>150</v>
      </c>
      <c r="C151" s="19" t="s">
        <v>468</v>
      </c>
      <c r="D151" s="19" t="s">
        <v>360</v>
      </c>
      <c r="E151" s="36">
        <v>84</v>
      </c>
      <c r="F151" s="19" t="s">
        <v>274</v>
      </c>
      <c r="G151" s="19" t="s">
        <v>322</v>
      </c>
      <c r="H151" s="19" t="s">
        <v>277</v>
      </c>
      <c r="I151" s="1" t="str">
        <f>IF(ISBLANK(E151),"ručně doplnit",IF(E151="-","není ve výkazech",IF(C151="Rozvaha",VLOOKUP(E151,'řádky R'!$A:$B,2,0),IF(C151="Výsledovka",VLOOKUP(E151,'řádky V'!A:M,2,0)))))</f>
        <v xml:space="preserve">Nerozdělený zisk minulých let </v>
      </c>
      <c r="N151" s="1" t="str">
        <f>IF(ISBLANK(J151),"není alternativa",IF(J151="-","není ve výkazech",VLOOKUP(J151,'řádky R'!$A:$B,2,0)))</f>
        <v>není alternativa</v>
      </c>
      <c r="O151" s="19" t="s">
        <v>290</v>
      </c>
    </row>
    <row r="152" spans="1:15" x14ac:dyDescent="0.2">
      <c r="A152" s="18">
        <v>429</v>
      </c>
      <c r="B152" s="19" t="s">
        <v>151</v>
      </c>
      <c r="C152" s="19" t="s">
        <v>468</v>
      </c>
      <c r="D152" s="19" t="s">
        <v>360</v>
      </c>
      <c r="E152" s="36">
        <v>85</v>
      </c>
      <c r="F152" s="19" t="s">
        <v>274</v>
      </c>
      <c r="G152" s="19" t="s">
        <v>322</v>
      </c>
      <c r="H152" s="19" t="s">
        <v>278</v>
      </c>
      <c r="I152" s="1" t="str">
        <f>IF(ISBLANK(E152),"ručně doplnit",IF(E152="-","není ve výkazech",IF(C152="Rozvaha",VLOOKUP(E152,'řádky R'!$A:$B,2,0),IF(C152="Výsledovka",VLOOKUP(E152,'řádky V'!A:M,2,0)))))</f>
        <v>Neuhrazená ztráta minulých let</v>
      </c>
      <c r="N152" s="1" t="str">
        <f>IF(ISBLANK(J152),"není alternativa",IF(J152="-","není ve výkazech",VLOOKUP(J152,'řádky R'!$A:$B,2,0)))</f>
        <v>není alternativa</v>
      </c>
      <c r="O152" s="19" t="s">
        <v>290</v>
      </c>
    </row>
    <row r="153" spans="1:15" x14ac:dyDescent="0.2">
      <c r="A153" s="18">
        <v>431</v>
      </c>
      <c r="B153" s="19" t="s">
        <v>152</v>
      </c>
      <c r="C153" s="19" t="s">
        <v>468</v>
      </c>
      <c r="D153" s="19" t="s">
        <v>407</v>
      </c>
      <c r="E153" s="36">
        <v>85</v>
      </c>
      <c r="F153" s="19" t="s">
        <v>274</v>
      </c>
      <c r="G153" s="19" t="s">
        <v>322</v>
      </c>
      <c r="H153" s="19" t="s">
        <v>278</v>
      </c>
      <c r="I153" s="1" t="str">
        <f>IF(ISBLANK(E153),"ručně doplnit",IF(E153="-","není ve výkazech",IF(C153="Rozvaha",VLOOKUP(E153,'řádky R'!$A:$B,2,0),IF(C153="Výsledovka",VLOOKUP(E153,'řádky V'!A:M,2,0)))))</f>
        <v>Neuhrazená ztráta minulých let</v>
      </c>
      <c r="J153" s="36">
        <v>84</v>
      </c>
      <c r="K153" s="19" t="s">
        <v>274</v>
      </c>
      <c r="L153" s="19" t="s">
        <v>322</v>
      </c>
      <c r="M153" s="19" t="s">
        <v>277</v>
      </c>
      <c r="N153" s="1" t="str">
        <f>IF(ISBLANK(J153),"není alternativa",IF(J153="-","není ve výkazech",VLOOKUP(J153,'řádky R'!$A:$B,2,0)))</f>
        <v xml:space="preserve">Nerozdělený zisk minulých let </v>
      </c>
      <c r="O153" s="19" t="s">
        <v>290</v>
      </c>
    </row>
    <row r="154" spans="1:15" x14ac:dyDescent="0.2">
      <c r="A154" s="18">
        <v>451</v>
      </c>
      <c r="B154" s="19" t="s">
        <v>153</v>
      </c>
      <c r="C154" s="19" t="s">
        <v>468</v>
      </c>
      <c r="D154" s="19" t="s">
        <v>360</v>
      </c>
      <c r="E154" s="36">
        <v>90</v>
      </c>
      <c r="F154" s="19" t="s">
        <v>275</v>
      </c>
      <c r="G154" s="19" t="s">
        <v>276</v>
      </c>
      <c r="H154" s="19" t="s">
        <v>277</v>
      </c>
      <c r="I154" s="1" t="str">
        <f>IF(ISBLANK(E154),"ručně doplnit",IF(E154="-","není ve výkazech",IF(C154="Rozvaha",VLOOKUP(E154,'řádky R'!$A:$B,2,0),IF(C154="Výsledovka",VLOOKUP(E154,'řádky V'!A:M,2,0)))))</f>
        <v>Rezervy podle zvláštních právních předpisů</v>
      </c>
      <c r="N154" s="1" t="str">
        <f>IF(ISBLANK(J154),"není alternativa",IF(J154="-","není ve výkazech",VLOOKUP(J154,'řádky R'!$A:$B,2,0)))</f>
        <v>není alternativa</v>
      </c>
      <c r="O154" s="19" t="s">
        <v>290</v>
      </c>
    </row>
    <row r="155" spans="1:15" x14ac:dyDescent="0.2">
      <c r="A155" s="18">
        <v>452</v>
      </c>
      <c r="B155" s="19" t="s">
        <v>154</v>
      </c>
      <c r="C155" s="19" t="s">
        <v>468</v>
      </c>
      <c r="D155" s="19" t="s">
        <v>360</v>
      </c>
      <c r="E155" s="36">
        <v>91</v>
      </c>
      <c r="F155" s="19" t="s">
        <v>275</v>
      </c>
      <c r="G155" s="19" t="s">
        <v>276</v>
      </c>
      <c r="H155" s="19" t="s">
        <v>278</v>
      </c>
      <c r="I155" s="1" t="str">
        <f>IF(ISBLANK(E155),"ručně doplnit",IF(E155="-","není ve výkazech",IF(C155="Rozvaha",VLOOKUP(E155,'řádky R'!$A:$B,2,0),IF(C155="Výsledovka",VLOOKUP(E155,'řádky V'!A:M,2,0)))))</f>
        <v>Rezerva na důchody a podobné závazky</v>
      </c>
      <c r="N155" s="1" t="str">
        <f>IF(ISBLANK(J155),"není alternativa",IF(J155="-","není ve výkazech",VLOOKUP(J155,'řádky R'!$A:$B,2,0)))</f>
        <v>není alternativa</v>
      </c>
      <c r="O155" s="19" t="s">
        <v>290</v>
      </c>
    </row>
    <row r="156" spans="1:15" x14ac:dyDescent="0.2">
      <c r="A156" s="18">
        <v>453</v>
      </c>
      <c r="B156" s="19" t="s">
        <v>155</v>
      </c>
      <c r="C156" s="19" t="s">
        <v>468</v>
      </c>
      <c r="D156" s="19" t="s">
        <v>360</v>
      </c>
      <c r="E156" s="36">
        <v>92</v>
      </c>
      <c r="F156" s="19" t="s">
        <v>275</v>
      </c>
      <c r="G156" s="19" t="s">
        <v>276</v>
      </c>
      <c r="H156" s="19" t="s">
        <v>279</v>
      </c>
      <c r="I156" s="1" t="str">
        <f>IF(ISBLANK(E156),"ručně doplnit",IF(E156="-","není ve výkazech",IF(C156="Rozvaha",VLOOKUP(E156,'řádky R'!$A:$B,2,0),IF(C156="Výsledovka",VLOOKUP(E156,'řádky V'!A:M,2,0)))))</f>
        <v>Rezerva na daň z příjmů</v>
      </c>
      <c r="N156" s="1" t="str">
        <f>IF(ISBLANK(J156),"není alternativa",IF(J156="-","není ve výkazech",VLOOKUP(J156,'řádky R'!$A:$B,2,0)))</f>
        <v>není alternativa</v>
      </c>
      <c r="O156" s="19" t="s">
        <v>290</v>
      </c>
    </row>
    <row r="157" spans="1:15" x14ac:dyDescent="0.2">
      <c r="A157" s="18">
        <v>454</v>
      </c>
      <c r="C157" s="19" t="s">
        <v>468</v>
      </c>
      <c r="D157" s="19" t="s">
        <v>360</v>
      </c>
      <c r="I157" s="1" t="str">
        <f>IF(ISBLANK(E157),"ručně doplnit",IF(E157="-","není ve výkazech",IF(C157="Rozvaha",VLOOKUP(E157,'řádky R'!$A:$B,2,0),IF(C157="Výsledovka",VLOOKUP(E157,'řádky V'!A:M,2,0)))))</f>
        <v>ručně doplnit</v>
      </c>
      <c r="N157" s="1" t="str">
        <f>IF(ISBLANK(J157),"není alternativa",IF(J157="-","není ve výkazech",VLOOKUP(J157,'řádky R'!$A:$B,2,0)))</f>
        <v>není alternativa</v>
      </c>
      <c r="O157" s="19" t="s">
        <v>290</v>
      </c>
    </row>
    <row r="158" spans="1:15" x14ac:dyDescent="0.2">
      <c r="A158" s="18">
        <v>459</v>
      </c>
      <c r="B158" s="19" t="s">
        <v>156</v>
      </c>
      <c r="C158" s="19" t="s">
        <v>468</v>
      </c>
      <c r="D158" s="19" t="s">
        <v>360</v>
      </c>
      <c r="E158" s="36">
        <v>93</v>
      </c>
      <c r="F158" s="19" t="s">
        <v>275</v>
      </c>
      <c r="G158" s="19" t="s">
        <v>276</v>
      </c>
      <c r="H158" s="19" t="s">
        <v>280</v>
      </c>
      <c r="I158" s="1" t="str">
        <f>IF(ISBLANK(E158),"ručně doplnit",IF(E158="-","není ve výkazech",IF(C158="Rozvaha",VLOOKUP(E158,'řádky R'!$A:$B,2,0),IF(C158="Výsledovka",VLOOKUP(E158,'řádky V'!A:M,2,0)))))</f>
        <v>Ostatní rezervy</v>
      </c>
      <c r="N158" s="1" t="str">
        <f>IF(ISBLANK(J158),"není alternativa",IF(J158="-","není ve výkazech",VLOOKUP(J158,'řádky R'!$A:$B,2,0)))</f>
        <v>není alternativa</v>
      </c>
      <c r="O158" s="19" t="s">
        <v>290</v>
      </c>
    </row>
    <row r="159" spans="1:15" x14ac:dyDescent="0.2">
      <c r="A159" s="18">
        <v>461</v>
      </c>
      <c r="B159" s="19" t="s">
        <v>157</v>
      </c>
      <c r="C159" s="19" t="s">
        <v>468</v>
      </c>
      <c r="D159" s="19" t="s">
        <v>360</v>
      </c>
      <c r="E159" s="36">
        <v>118</v>
      </c>
      <c r="F159" s="19" t="s">
        <v>275</v>
      </c>
      <c r="G159" s="19" t="s">
        <v>322</v>
      </c>
      <c r="H159" s="19" t="s">
        <v>277</v>
      </c>
      <c r="I159" s="1" t="str">
        <f>IF(ISBLANK(E159),"ručně doplnit",IF(E159="-","není ve výkazech",IF(C159="Rozvaha",VLOOKUP(E159,'řádky R'!$A:$B,2,0),IF(C159="Výsledovka",VLOOKUP(E159,'řádky V'!A:M,2,0)))))</f>
        <v>Bankovní úvěry dlouhodobé</v>
      </c>
      <c r="N159" s="1" t="str">
        <f>IF(ISBLANK(J159),"není alternativa",IF(J159="-","není ve výkazech",VLOOKUP(J159,'řádky R'!$A:$B,2,0)))</f>
        <v>není alternativa</v>
      </c>
      <c r="O159" s="19" t="s">
        <v>290</v>
      </c>
    </row>
    <row r="160" spans="1:15" x14ac:dyDescent="0.2">
      <c r="A160" s="18">
        <v>471</v>
      </c>
      <c r="B160" s="19" t="s">
        <v>158</v>
      </c>
      <c r="C160" s="19" t="s">
        <v>468</v>
      </c>
      <c r="D160" s="19" t="s">
        <v>360</v>
      </c>
      <c r="E160" s="36">
        <v>96</v>
      </c>
      <c r="F160" s="19" t="s">
        <v>275</v>
      </c>
      <c r="G160" s="19" t="s">
        <v>286</v>
      </c>
      <c r="H160" s="19" t="s">
        <v>278</v>
      </c>
      <c r="I160" s="1" t="str">
        <f>IF(ISBLANK(E160),"ručně doplnit",IF(E160="-","není ve výkazech",IF(C160="Rozvaha",VLOOKUP(E160,'řádky R'!$A:$B,2,0),IF(C160="Výsledovka",VLOOKUP(E160,'řádky V'!A:M,2,0)))))</f>
        <v>Závazky - ovládaná nebo ovládající osoba</v>
      </c>
      <c r="N160" s="1" t="str">
        <f>IF(ISBLANK(J160),"není alternativa",IF(J160="-","není ve výkazech",VLOOKUP(J160,'řádky R'!$A:$B,2,0)))</f>
        <v>není alternativa</v>
      </c>
      <c r="O160" s="19" t="s">
        <v>290</v>
      </c>
    </row>
    <row r="161" spans="1:15" x14ac:dyDescent="0.2">
      <c r="A161" s="18">
        <v>472</v>
      </c>
      <c r="B161" s="19" t="s">
        <v>159</v>
      </c>
      <c r="C161" s="19" t="s">
        <v>468</v>
      </c>
      <c r="D161" s="19" t="s">
        <v>360</v>
      </c>
      <c r="E161" s="36">
        <v>97</v>
      </c>
      <c r="F161" s="19" t="s">
        <v>275</v>
      </c>
      <c r="G161" s="19" t="s">
        <v>286</v>
      </c>
      <c r="H161" s="19" t="s">
        <v>279</v>
      </c>
      <c r="I161" s="1" t="str">
        <f>IF(ISBLANK(E161),"ručně doplnit",IF(E161="-","není ve výkazech",IF(C161="Rozvaha",VLOOKUP(E161,'řádky R'!$A:$B,2,0),IF(C161="Výsledovka",VLOOKUP(E161,'řádky V'!A:M,2,0)))))</f>
        <v>Závazky - podstatný vliv</v>
      </c>
      <c r="N161" s="1" t="str">
        <f>IF(ISBLANK(J161),"není alternativa",IF(J161="-","není ve výkazech",VLOOKUP(J161,'řádky R'!$A:$B,2,0)))</f>
        <v>není alternativa</v>
      </c>
      <c r="O161" s="19" t="s">
        <v>290</v>
      </c>
    </row>
    <row r="162" spans="1:15" x14ac:dyDescent="0.2">
      <c r="A162" s="18">
        <v>473</v>
      </c>
      <c r="B162" s="19" t="s">
        <v>160</v>
      </c>
      <c r="C162" s="19" t="s">
        <v>468</v>
      </c>
      <c r="D162" s="19" t="s">
        <v>360</v>
      </c>
      <c r="E162" s="36">
        <v>100</v>
      </c>
      <c r="F162" s="19" t="s">
        <v>275</v>
      </c>
      <c r="G162" s="19" t="s">
        <v>286</v>
      </c>
      <c r="H162" s="19" t="s">
        <v>282</v>
      </c>
      <c r="I162" s="1" t="str">
        <f>IF(ISBLANK(E162),"ručně doplnit",IF(E162="-","není ve výkazech",IF(C162="Rozvaha",VLOOKUP(E162,'řádky R'!$A:$B,2,0),IF(C162="Výsledovka",VLOOKUP(E162,'řádky V'!A:M,2,0)))))</f>
        <v>Vydané dluhopisy</v>
      </c>
      <c r="N162" s="1" t="str">
        <f>IF(ISBLANK(J162),"není alternativa",IF(J162="-","není ve výkazech",VLOOKUP(J162,'řádky R'!$A:$B,2,0)))</f>
        <v>není alternativa</v>
      </c>
      <c r="O162" s="19" t="s">
        <v>290</v>
      </c>
    </row>
    <row r="163" spans="1:15" x14ac:dyDescent="0.2">
      <c r="A163" s="18">
        <v>474</v>
      </c>
      <c r="B163" s="19" t="s">
        <v>161</v>
      </c>
      <c r="C163" s="19" t="s">
        <v>468</v>
      </c>
      <c r="D163" s="19" t="s">
        <v>360</v>
      </c>
      <c r="E163" s="36">
        <v>103</v>
      </c>
      <c r="F163" s="19" t="s">
        <v>275</v>
      </c>
      <c r="G163" s="19" t="s">
        <v>286</v>
      </c>
      <c r="H163" s="19" t="s">
        <v>287</v>
      </c>
      <c r="I163" s="1" t="str">
        <f>IF(ISBLANK(E163),"ručně doplnit",IF(E163="-","není ve výkazech",IF(C163="Rozvaha",VLOOKUP(E163,'řádky R'!$A:$B,2,0),IF(C163="Výsledovka",VLOOKUP(E163,'řádky V'!A:M,2,0)))))</f>
        <v>Jiné závazky</v>
      </c>
      <c r="N163" s="1" t="str">
        <f>IF(ISBLANK(J163),"není alternativa",IF(J163="-","není ve výkazech",VLOOKUP(J163,'řádky R'!$A:$B,2,0)))</f>
        <v>není alternativa</v>
      </c>
      <c r="O163" s="19" t="s">
        <v>290</v>
      </c>
    </row>
    <row r="164" spans="1:15" x14ac:dyDescent="0.2">
      <c r="A164" s="18">
        <v>475</v>
      </c>
      <c r="B164" s="19" t="s">
        <v>162</v>
      </c>
      <c r="C164" s="19" t="s">
        <v>468</v>
      </c>
      <c r="D164" s="19" t="s">
        <v>360</v>
      </c>
      <c r="E164" s="36">
        <v>99</v>
      </c>
      <c r="F164" s="19" t="s">
        <v>275</v>
      </c>
      <c r="G164" s="19" t="s">
        <v>286</v>
      </c>
      <c r="H164" s="32" t="s">
        <v>281</v>
      </c>
      <c r="I164" s="1" t="str">
        <f>IF(ISBLANK(E164),"ručně doplnit",IF(E164="-","není ve výkazech",IF(C164="Rozvaha",VLOOKUP(E164,'řádky R'!$A:$B,2,0),IF(C164="Výsledovka",VLOOKUP(E164,'řádky V'!A:M,2,0)))))</f>
        <v>Dlouhodobé přijaté zálohy</v>
      </c>
      <c r="N164" s="1" t="str">
        <f>IF(ISBLANK(J164),"není alternativa",IF(J164="-","není ve výkazech",VLOOKUP(J164,'řádky R'!$A:$B,2,0)))</f>
        <v>není alternativa</v>
      </c>
      <c r="O164" s="19" t="s">
        <v>290</v>
      </c>
    </row>
    <row r="165" spans="1:15" x14ac:dyDescent="0.2">
      <c r="A165" s="18">
        <v>478</v>
      </c>
      <c r="B165" s="19" t="s">
        <v>163</v>
      </c>
      <c r="C165" s="19" t="s">
        <v>468</v>
      </c>
      <c r="D165" s="19" t="s">
        <v>360</v>
      </c>
      <c r="E165" s="36">
        <v>101</v>
      </c>
      <c r="F165" s="19" t="s">
        <v>275</v>
      </c>
      <c r="G165" s="19" t="s">
        <v>286</v>
      </c>
      <c r="H165" s="19" t="s">
        <v>283</v>
      </c>
      <c r="I165" s="1" t="str">
        <f>IF(ISBLANK(E165),"ručně doplnit",IF(E165="-","není ve výkazech",IF(C165="Rozvaha",VLOOKUP(E165,'řádky R'!$A:$B,2,0),IF(C165="Výsledovka",VLOOKUP(E165,'řádky V'!A:M,2,0)))))</f>
        <v>Dlouhodobé směnky k úhradě</v>
      </c>
      <c r="N165" s="1" t="str">
        <f>IF(ISBLANK(J165),"není alternativa",IF(J165="-","není ve výkazech",VLOOKUP(J165,'řádky R'!$A:$B,2,0)))</f>
        <v>není alternativa</v>
      </c>
      <c r="O165" s="19" t="s">
        <v>290</v>
      </c>
    </row>
    <row r="166" spans="1:15" x14ac:dyDescent="0.2">
      <c r="A166" s="18">
        <v>479</v>
      </c>
      <c r="B166" s="19" t="s">
        <v>164</v>
      </c>
      <c r="C166" s="19" t="s">
        <v>468</v>
      </c>
      <c r="D166" s="19" t="s">
        <v>360</v>
      </c>
      <c r="E166" s="36">
        <v>103</v>
      </c>
      <c r="F166" s="19" t="s">
        <v>275</v>
      </c>
      <c r="G166" s="19" t="s">
        <v>286</v>
      </c>
      <c r="H166" s="19" t="s">
        <v>287</v>
      </c>
      <c r="I166" s="1" t="str">
        <f>IF(ISBLANK(E166),"ručně doplnit",IF(E166="-","není ve výkazech",IF(C166="Rozvaha",VLOOKUP(E166,'řádky R'!$A:$B,2,0),IF(C166="Výsledovka",VLOOKUP(E166,'řádky V'!A:M,2,0)))))</f>
        <v>Jiné závazky</v>
      </c>
      <c r="N166" s="1" t="str">
        <f>IF(ISBLANK(J166),"není alternativa",IF(J166="-","není ve výkazech",VLOOKUP(J166,'řádky R'!$A:$B,2,0)))</f>
        <v>není alternativa</v>
      </c>
      <c r="O166" s="19" t="s">
        <v>290</v>
      </c>
    </row>
    <row r="167" spans="1:15" x14ac:dyDescent="0.2">
      <c r="A167" s="18">
        <v>481</v>
      </c>
      <c r="B167" s="19" t="s">
        <v>165</v>
      </c>
      <c r="C167" s="19" t="s">
        <v>468</v>
      </c>
      <c r="D167" s="19" t="s">
        <v>407</v>
      </c>
      <c r="E167" s="36">
        <v>47</v>
      </c>
      <c r="F167" s="19" t="s">
        <v>309</v>
      </c>
      <c r="G167" s="19" t="s">
        <v>286</v>
      </c>
      <c r="H167" s="19" t="s">
        <v>284</v>
      </c>
      <c r="I167" s="1" t="str">
        <f>IF(ISBLANK(E167),"ručně doplnit",IF(E167="-","není ve výkazech",IF(C167="Rozvaha",VLOOKUP(E167,'řádky R'!$A:$B,2,0),IF(C167="Výsledovka",VLOOKUP(E167,'řádky V'!A:M,2,0)))))</f>
        <v>Odložená daňová pohledávka</v>
      </c>
      <c r="J167" s="5">
        <v>104</v>
      </c>
      <c r="K167" s="19" t="s">
        <v>275</v>
      </c>
      <c r="L167" s="19" t="s">
        <v>286</v>
      </c>
      <c r="M167" s="19" t="s">
        <v>372</v>
      </c>
      <c r="N167" s="1" t="str">
        <f>IF(ISBLANK(J167),"není alternativa",IF(J167="-","není ve výkazech",VLOOKUP(J167,'řádky R'!$A:$B,2,0)))</f>
        <v>Odložený daňový závazek</v>
      </c>
      <c r="O167" s="19" t="s">
        <v>290</v>
      </c>
    </row>
    <row r="168" spans="1:15" x14ac:dyDescent="0.2">
      <c r="A168" s="18">
        <v>491</v>
      </c>
      <c r="B168" s="19" t="s">
        <v>166</v>
      </c>
      <c r="C168" s="19" t="s">
        <v>468</v>
      </c>
      <c r="D168" s="19" t="s">
        <v>360</v>
      </c>
      <c r="E168" s="36">
        <v>2</v>
      </c>
      <c r="F168" s="19" t="s">
        <v>274</v>
      </c>
      <c r="G168" s="19" t="s">
        <v>276</v>
      </c>
      <c r="H168" s="19" t="s">
        <v>277</v>
      </c>
      <c r="I168" s="1" t="str">
        <f>IF(ISBLANK(E168),"ručně doplnit",IF(E168="-","není ve výkazech",IF(C168="Rozvaha",VLOOKUP(E168,'řádky R'!$A:$B,2,0),IF(C168="Výsledovka",VLOOKUP(E168,'řádky V'!A:M,2,0)))))</f>
        <v>Pohledávky za upsaný základní kapitál</v>
      </c>
      <c r="N168" s="1" t="str">
        <f>IF(ISBLANK(J168),"není alternativa",IF(J168="-","není ve výkazech",VLOOKUP(J168,'řádky R'!$A:$B,2,0)))</f>
        <v>není alternativa</v>
      </c>
      <c r="O168" s="19" t="s">
        <v>290</v>
      </c>
    </row>
    <row r="169" spans="1:15" x14ac:dyDescent="0.2">
      <c r="A169" s="18">
        <v>501</v>
      </c>
      <c r="B169" s="19" t="s">
        <v>167</v>
      </c>
      <c r="C169" s="19" t="s">
        <v>803</v>
      </c>
      <c r="D169" s="19" t="s">
        <v>408</v>
      </c>
      <c r="E169" s="36">
        <v>9</v>
      </c>
      <c r="F169" s="19" t="s">
        <v>275</v>
      </c>
      <c r="G169" s="19" t="s">
        <v>277</v>
      </c>
      <c r="I169" s="1" t="str">
        <f>IF(ISBLANK(E169),"ručně doplnit",IF(E169="-","není ve výkazech",IF(C169="Rozvaha",VLOOKUP(E169,'řádky R'!$A:$B,2,0),IF(C169="Výsledovka",VLOOKUP(E169,'řádky V'!A:M,2,0)))))</f>
        <v>Spotřeba materiálu a energie</v>
      </c>
      <c r="N169" s="1" t="str">
        <f>IF(ISBLANK(J169),"není alternativa",IF(J169="-","není ve výkazech",VLOOKUP(J169,'řádky R'!$A:$B,2,0)))</f>
        <v>není alternativa</v>
      </c>
      <c r="O169" s="19" t="s">
        <v>306</v>
      </c>
    </row>
    <row r="170" spans="1:15" x14ac:dyDescent="0.2">
      <c r="A170" s="18">
        <v>502</v>
      </c>
      <c r="B170" s="19" t="s">
        <v>168</v>
      </c>
      <c r="C170" s="19" t="s">
        <v>803</v>
      </c>
      <c r="D170" s="19" t="s">
        <v>408</v>
      </c>
      <c r="E170" s="36">
        <v>9</v>
      </c>
      <c r="F170" s="19" t="s">
        <v>275</v>
      </c>
      <c r="G170" s="19" t="s">
        <v>277</v>
      </c>
      <c r="I170" s="1" t="str">
        <f>IF(ISBLANK(E170),"ručně doplnit",IF(E170="-","není ve výkazech",IF(C170="Rozvaha",VLOOKUP(E170,'řádky R'!$A:$B,2,0),IF(C170="Výsledovka",VLOOKUP(E170,'řádky V'!A:M,2,0)))))</f>
        <v>Spotřeba materiálu a energie</v>
      </c>
      <c r="N170" s="1" t="str">
        <f>IF(ISBLANK(J170),"není alternativa",IF(J170="-","není ve výkazech",VLOOKUP(J170,'řádky R'!$A:$B,2,0)))</f>
        <v>není alternativa</v>
      </c>
      <c r="O170" s="19" t="s">
        <v>306</v>
      </c>
    </row>
    <row r="171" spans="1:15" x14ac:dyDescent="0.2">
      <c r="A171" s="18">
        <v>503</v>
      </c>
      <c r="B171" s="19" t="s">
        <v>169</v>
      </c>
      <c r="C171" s="19" t="s">
        <v>803</v>
      </c>
      <c r="D171" s="19" t="s">
        <v>408</v>
      </c>
      <c r="E171" s="36">
        <v>9</v>
      </c>
      <c r="F171" s="19" t="s">
        <v>275</v>
      </c>
      <c r="G171" s="19" t="s">
        <v>277</v>
      </c>
      <c r="I171" s="1" t="str">
        <f>IF(ISBLANK(E171),"ručně doplnit",IF(E171="-","není ve výkazech",IF(C171="Rozvaha",VLOOKUP(E171,'řádky R'!$A:$B,2,0),IF(C171="Výsledovka",VLOOKUP(E171,'řádky V'!A:M,2,0)))))</f>
        <v>Spotřeba materiálu a energie</v>
      </c>
      <c r="N171" s="1" t="str">
        <f>IF(ISBLANK(J171),"není alternativa",IF(J171="-","není ve výkazech",VLOOKUP(J171,'řádky R'!$A:$B,2,0)))</f>
        <v>není alternativa</v>
      </c>
      <c r="O171" s="19" t="s">
        <v>306</v>
      </c>
    </row>
    <row r="172" spans="1:15" x14ac:dyDescent="0.2">
      <c r="A172" s="18">
        <v>504</v>
      </c>
      <c r="B172" s="19" t="s">
        <v>170</v>
      </c>
      <c r="C172" s="19" t="s">
        <v>803</v>
      </c>
      <c r="D172" s="19" t="s">
        <v>408</v>
      </c>
      <c r="E172" s="36">
        <v>2</v>
      </c>
      <c r="F172" s="19" t="s">
        <v>274</v>
      </c>
      <c r="I172" s="1" t="str">
        <f>IF(ISBLANK(E172),"ručně doplnit",IF(E172="-","není ve výkazech",IF(C172="Rozvaha",VLOOKUP(E172,'řádky R'!$A:$B,2,0),IF(C172="Výsledovka",VLOOKUP(E172,'řádky V'!A:M,2,0)))))</f>
        <v>Náklady vynaložené na prodané zboží</v>
      </c>
      <c r="N172" s="1" t="str">
        <f>IF(ISBLANK(J172),"není alternativa",IF(J172="-","není ve výkazech",VLOOKUP(J172,'řádky R'!$A:$B,2,0)))</f>
        <v>není alternativa</v>
      </c>
      <c r="O172" s="19" t="s">
        <v>306</v>
      </c>
    </row>
    <row r="173" spans="1:15" x14ac:dyDescent="0.2">
      <c r="A173" s="18">
        <v>510</v>
      </c>
      <c r="B173" s="19" t="s">
        <v>171</v>
      </c>
      <c r="C173" s="19" t="s">
        <v>803</v>
      </c>
      <c r="D173" s="19" t="s">
        <v>408</v>
      </c>
      <c r="E173" s="36">
        <v>10</v>
      </c>
      <c r="F173" s="19" t="s">
        <v>275</v>
      </c>
      <c r="G173" s="19" t="s">
        <v>278</v>
      </c>
      <c r="I173" s="1" t="str">
        <f>IF(ISBLANK(E173),"ručně doplnit",IF(E173="-","není ve výkazech",IF(C173="Rozvaha",VLOOKUP(E173,'řádky R'!$A:$B,2,0),IF(C173="Výsledovka",VLOOKUP(E173,'řádky V'!A:M,2,0)))))</f>
        <v>Služby</v>
      </c>
      <c r="N173" s="1" t="str">
        <f>IF(ISBLANK(J173),"není alternativa",IF(J173="-","není ve výkazech",VLOOKUP(J173,'řádky R'!$A:$B,2,0)))</f>
        <v>není alternativa</v>
      </c>
      <c r="O173" s="19" t="s">
        <v>306</v>
      </c>
    </row>
    <row r="174" spans="1:15" x14ac:dyDescent="0.2">
      <c r="A174" s="18">
        <v>511</v>
      </c>
      <c r="B174" s="19" t="s">
        <v>172</v>
      </c>
      <c r="C174" s="19" t="s">
        <v>803</v>
      </c>
      <c r="D174" s="19" t="s">
        <v>408</v>
      </c>
      <c r="E174" s="36">
        <v>10</v>
      </c>
      <c r="F174" s="19" t="s">
        <v>275</v>
      </c>
      <c r="G174" s="19" t="s">
        <v>278</v>
      </c>
      <c r="I174" s="1" t="str">
        <f>IF(ISBLANK(E174),"ručně doplnit",IF(E174="-","není ve výkazech",IF(C174="Rozvaha",VLOOKUP(E174,'řádky R'!$A:$B,2,0),IF(C174="Výsledovka",VLOOKUP(E174,'řádky V'!A:M,2,0)))))</f>
        <v>Služby</v>
      </c>
      <c r="N174" s="1" t="str">
        <f>IF(ISBLANK(J174),"není alternativa",IF(J174="-","není ve výkazech",VLOOKUP(J174,'řádky R'!$A:$B,2,0)))</f>
        <v>není alternativa</v>
      </c>
      <c r="O174" s="19" t="s">
        <v>306</v>
      </c>
    </row>
    <row r="175" spans="1:15" x14ac:dyDescent="0.2">
      <c r="A175" s="18">
        <v>512</v>
      </c>
      <c r="B175" s="19" t="s">
        <v>173</v>
      </c>
      <c r="C175" s="19" t="s">
        <v>803</v>
      </c>
      <c r="D175" s="19" t="s">
        <v>408</v>
      </c>
      <c r="E175" s="36">
        <v>10</v>
      </c>
      <c r="F175" s="19" t="s">
        <v>275</v>
      </c>
      <c r="G175" s="19" t="s">
        <v>278</v>
      </c>
      <c r="I175" s="1" t="str">
        <f>IF(ISBLANK(E175),"ručně doplnit",IF(E175="-","není ve výkazech",IF(C175="Rozvaha",VLOOKUP(E175,'řádky R'!$A:$B,2,0),IF(C175="Výsledovka",VLOOKUP(E175,'řádky V'!A:M,2,0)))))</f>
        <v>Služby</v>
      </c>
      <c r="N175" s="1" t="str">
        <f>IF(ISBLANK(J175),"není alternativa",IF(J175="-","není ve výkazech",VLOOKUP(J175,'řádky R'!$A:$B,2,0)))</f>
        <v>není alternativa</v>
      </c>
      <c r="O175" s="19" t="s">
        <v>306</v>
      </c>
    </row>
    <row r="176" spans="1:15" x14ac:dyDescent="0.2">
      <c r="A176" s="18">
        <v>513</v>
      </c>
      <c r="B176" s="19" t="s">
        <v>174</v>
      </c>
      <c r="C176" s="19" t="s">
        <v>803</v>
      </c>
      <c r="D176" s="19" t="s">
        <v>381</v>
      </c>
      <c r="E176" s="36">
        <v>10</v>
      </c>
      <c r="F176" s="19" t="s">
        <v>275</v>
      </c>
      <c r="G176" s="19" t="s">
        <v>278</v>
      </c>
      <c r="I176" s="1" t="str">
        <f>IF(ISBLANK(E176),"ručně doplnit",IF(E176="-","není ve výkazech",IF(C176="Rozvaha",VLOOKUP(E176,'řádky R'!$A:$B,2,0),IF(C176="Výsledovka",VLOOKUP(E176,'řádky V'!A:M,2,0)))))</f>
        <v>Služby</v>
      </c>
      <c r="N176" s="1" t="str">
        <f>IF(ISBLANK(J176),"není alternativa",IF(J176="-","není ve výkazech",VLOOKUP(J176,'řádky R'!$A:$B,2,0)))</f>
        <v>není alternativa</v>
      </c>
      <c r="O176" s="19" t="s">
        <v>306</v>
      </c>
    </row>
    <row r="177" spans="1:15" x14ac:dyDescent="0.2">
      <c r="A177" s="18">
        <v>518</v>
      </c>
      <c r="B177" s="19" t="s">
        <v>175</v>
      </c>
      <c r="C177" s="19" t="s">
        <v>803</v>
      </c>
      <c r="D177" s="19" t="s">
        <v>408</v>
      </c>
      <c r="E177" s="36">
        <v>10</v>
      </c>
      <c r="F177" s="19" t="s">
        <v>275</v>
      </c>
      <c r="G177" s="19" t="s">
        <v>278</v>
      </c>
      <c r="I177" s="1" t="str">
        <f>IF(ISBLANK(E177),"ručně doplnit",IF(E177="-","není ve výkazech",IF(C177="Rozvaha",VLOOKUP(E177,'řádky R'!$A:$B,2,0),IF(C177="Výsledovka",VLOOKUP(E177,'řádky V'!A:M,2,0)))))</f>
        <v>Služby</v>
      </c>
      <c r="N177" s="1" t="str">
        <f>IF(ISBLANK(J177),"není alternativa",IF(J177="-","není ve výkazech",VLOOKUP(J177,'řádky R'!$A:$B,2,0)))</f>
        <v>není alternativa</v>
      </c>
      <c r="O177" s="19" t="s">
        <v>306</v>
      </c>
    </row>
    <row r="178" spans="1:15" x14ac:dyDescent="0.2">
      <c r="A178" s="18">
        <v>521</v>
      </c>
      <c r="B178" s="19" t="s">
        <v>176</v>
      </c>
      <c r="C178" s="19" t="s">
        <v>803</v>
      </c>
      <c r="D178" s="19" t="s">
        <v>408</v>
      </c>
      <c r="E178" s="36">
        <v>13</v>
      </c>
      <c r="F178" s="19" t="s">
        <v>309</v>
      </c>
      <c r="G178" s="19" t="s">
        <v>277</v>
      </c>
      <c r="I178" s="1" t="str">
        <f>IF(ISBLANK(E178),"ručně doplnit",IF(E178="-","není ve výkazech",IF(C178="Rozvaha",VLOOKUP(E178,'řádky R'!$A:$B,2,0),IF(C178="Výsledovka",VLOOKUP(E178,'řádky V'!A:M,2,0)))))</f>
        <v>Mzdové náklady</v>
      </c>
      <c r="N178" s="1" t="str">
        <f>IF(ISBLANK(J178),"není alternativa",IF(J178="-","není ve výkazech",VLOOKUP(J178,'řádky R'!$A:$B,2,0)))</f>
        <v>není alternativa</v>
      </c>
      <c r="O178" s="19" t="s">
        <v>306</v>
      </c>
    </row>
    <row r="179" spans="1:15" x14ac:dyDescent="0.2">
      <c r="A179" s="18">
        <v>522</v>
      </c>
      <c r="B179" s="19" t="s">
        <v>177</v>
      </c>
      <c r="C179" s="19" t="s">
        <v>803</v>
      </c>
      <c r="D179" s="19" t="s">
        <v>408</v>
      </c>
      <c r="E179" s="36">
        <v>13</v>
      </c>
      <c r="F179" s="19" t="s">
        <v>309</v>
      </c>
      <c r="G179" s="19" t="s">
        <v>277</v>
      </c>
      <c r="I179" s="1" t="str">
        <f>IF(ISBLANK(E179),"ručně doplnit",IF(E179="-","není ve výkazech",IF(C179="Rozvaha",VLOOKUP(E179,'řádky R'!$A:$B,2,0),IF(C179="Výsledovka",VLOOKUP(E179,'řádky V'!A:M,2,0)))))</f>
        <v>Mzdové náklady</v>
      </c>
      <c r="N179" s="1" t="str">
        <f>IF(ISBLANK(J179),"není alternativa",IF(J179="-","není ve výkazech",VLOOKUP(J179,'řádky R'!$A:$B,2,0)))</f>
        <v>není alternativa</v>
      </c>
      <c r="O179" s="19" t="s">
        <v>306</v>
      </c>
    </row>
    <row r="180" spans="1:15" x14ac:dyDescent="0.2">
      <c r="A180" s="18">
        <v>523</v>
      </c>
      <c r="B180" s="19" t="s">
        <v>178</v>
      </c>
      <c r="C180" s="19" t="s">
        <v>803</v>
      </c>
      <c r="D180" s="19" t="s">
        <v>381</v>
      </c>
      <c r="E180" s="36">
        <v>14</v>
      </c>
      <c r="F180" s="19" t="s">
        <v>309</v>
      </c>
      <c r="G180" s="19" t="s">
        <v>278</v>
      </c>
      <c r="I180" s="1" t="str">
        <f>IF(ISBLANK(E180),"ručně doplnit",IF(E180="-","není ve výkazech",IF(C180="Rozvaha",VLOOKUP(E180,'řádky R'!$A:$B,2,0),IF(C180="Výsledovka",VLOOKUP(E180,'řádky V'!A:M,2,0)))))</f>
        <v>Odměny členům orgánů společnosti a družstva</v>
      </c>
      <c r="N180" s="1" t="str">
        <f>IF(ISBLANK(J180),"není alternativa",IF(J180="-","není ve výkazech",VLOOKUP(J180,'řádky R'!$A:$B,2,0)))</f>
        <v>není alternativa</v>
      </c>
      <c r="O180" s="19" t="s">
        <v>306</v>
      </c>
    </row>
    <row r="181" spans="1:15" x14ac:dyDescent="0.2">
      <c r="A181" s="18">
        <v>524</v>
      </c>
      <c r="B181" s="19" t="s">
        <v>179</v>
      </c>
      <c r="C181" s="19" t="s">
        <v>803</v>
      </c>
      <c r="D181" s="19" t="s">
        <v>408</v>
      </c>
      <c r="E181" s="36">
        <v>15</v>
      </c>
      <c r="F181" s="19" t="s">
        <v>309</v>
      </c>
      <c r="G181" s="19" t="s">
        <v>279</v>
      </c>
      <c r="I181" s="1" t="str">
        <f>IF(ISBLANK(E181),"ručně doplnit",IF(E181="-","není ve výkazech",IF(C181="Rozvaha",VLOOKUP(E181,'řádky R'!$A:$B,2,0),IF(C181="Výsledovka",VLOOKUP(E181,'řádky V'!A:M,2,0)))))</f>
        <v>Náklady na sociální zabezpečení a zdravotní pojištění</v>
      </c>
      <c r="N181" s="1" t="str">
        <f>IF(ISBLANK(J181),"není alternativa",IF(J181="-","není ve výkazech",VLOOKUP(J181,'řádky R'!$A:$B,2,0)))</f>
        <v>není alternativa</v>
      </c>
      <c r="O181" s="19" t="s">
        <v>306</v>
      </c>
    </row>
    <row r="182" spans="1:15" x14ac:dyDescent="0.2">
      <c r="A182" s="18">
        <v>525</v>
      </c>
      <c r="B182" s="19" t="s">
        <v>180</v>
      </c>
      <c r="C182" s="19" t="s">
        <v>803</v>
      </c>
      <c r="D182" s="19" t="s">
        <v>381</v>
      </c>
      <c r="E182" s="36">
        <v>15</v>
      </c>
      <c r="F182" s="19" t="s">
        <v>309</v>
      </c>
      <c r="G182" s="19" t="s">
        <v>279</v>
      </c>
      <c r="I182" s="1" t="str">
        <f>IF(ISBLANK(E182),"ručně doplnit",IF(E182="-","není ve výkazech",IF(C182="Rozvaha",VLOOKUP(E182,'řádky R'!$A:$B,2,0),IF(C182="Výsledovka",VLOOKUP(E182,'řádky V'!A:M,2,0)))))</f>
        <v>Náklady na sociální zabezpečení a zdravotní pojištění</v>
      </c>
      <c r="N182" s="1" t="str">
        <f>IF(ISBLANK(J182),"není alternativa",IF(J182="-","není ve výkazech",VLOOKUP(J182,'řádky R'!$A:$B,2,0)))</f>
        <v>není alternativa</v>
      </c>
      <c r="O182" s="19" t="s">
        <v>306</v>
      </c>
    </row>
    <row r="183" spans="1:15" x14ac:dyDescent="0.2">
      <c r="A183" s="18">
        <v>526</v>
      </c>
      <c r="B183" s="19" t="s">
        <v>181</v>
      </c>
      <c r="C183" s="19" t="s">
        <v>803</v>
      </c>
      <c r="D183" s="19" t="s">
        <v>381</v>
      </c>
      <c r="E183" s="36">
        <v>15</v>
      </c>
      <c r="F183" s="19" t="s">
        <v>309</v>
      </c>
      <c r="G183" s="19" t="s">
        <v>279</v>
      </c>
      <c r="I183" s="1" t="str">
        <f>IF(ISBLANK(E183),"ručně doplnit",IF(E183="-","není ve výkazech",IF(C183="Rozvaha",VLOOKUP(E183,'řádky R'!$A:$B,2,0),IF(C183="Výsledovka",VLOOKUP(E183,'řádky V'!A:M,2,0)))))</f>
        <v>Náklady na sociální zabezpečení a zdravotní pojištění</v>
      </c>
      <c r="N183" s="1" t="str">
        <f>IF(ISBLANK(J183),"není alternativa",IF(J183="-","není ve výkazech",VLOOKUP(J183,'řádky R'!$A:$B,2,0)))</f>
        <v>není alternativa</v>
      </c>
      <c r="O183" s="19" t="s">
        <v>306</v>
      </c>
    </row>
    <row r="184" spans="1:15" x14ac:dyDescent="0.2">
      <c r="A184" s="18">
        <v>527</v>
      </c>
      <c r="B184" s="19" t="s">
        <v>182</v>
      </c>
      <c r="C184" s="19" t="s">
        <v>803</v>
      </c>
      <c r="D184" s="19" t="s">
        <v>408</v>
      </c>
      <c r="E184" s="36">
        <v>16</v>
      </c>
      <c r="F184" s="19" t="s">
        <v>309</v>
      </c>
      <c r="G184" s="19" t="s">
        <v>280</v>
      </c>
      <c r="I184" s="1" t="str">
        <f>IF(ISBLANK(E184),"ručně doplnit",IF(E184="-","není ve výkazech",IF(C184="Rozvaha",VLOOKUP(E184,'řádky R'!$A:$B,2,0),IF(C184="Výsledovka",VLOOKUP(E184,'řádky V'!A:M,2,0)))))</f>
        <v>Sociální náklady</v>
      </c>
      <c r="N184" s="1" t="str">
        <f>IF(ISBLANK(J184),"není alternativa",IF(J184="-","není ve výkazech",VLOOKUP(J184,'řádky R'!$A:$B,2,0)))</f>
        <v>není alternativa</v>
      </c>
      <c r="O184" s="19" t="s">
        <v>306</v>
      </c>
    </row>
    <row r="185" spans="1:15" x14ac:dyDescent="0.2">
      <c r="A185" s="18">
        <v>528</v>
      </c>
      <c r="B185" s="19" t="s">
        <v>183</v>
      </c>
      <c r="C185" s="19" t="s">
        <v>803</v>
      </c>
      <c r="D185" s="19" t="s">
        <v>381</v>
      </c>
      <c r="E185" s="36">
        <v>16</v>
      </c>
      <c r="F185" s="19" t="s">
        <v>309</v>
      </c>
      <c r="G185" s="19" t="s">
        <v>280</v>
      </c>
      <c r="I185" s="1" t="str">
        <f>IF(ISBLANK(E185),"ručně doplnit",IF(E185="-","není ve výkazech",IF(C185="Rozvaha",VLOOKUP(E185,'řádky R'!$A:$B,2,0),IF(C185="Výsledovka",VLOOKUP(E185,'řádky V'!A:M,2,0)))))</f>
        <v>Sociální náklady</v>
      </c>
      <c r="N185" s="1" t="str">
        <f>IF(ISBLANK(J185),"není alternativa",IF(J185="-","není ve výkazech",VLOOKUP(J185,'řádky R'!$A:$B,2,0)))</f>
        <v>není alternativa</v>
      </c>
      <c r="O185" s="19" t="s">
        <v>306</v>
      </c>
    </row>
    <row r="186" spans="1:15" x14ac:dyDescent="0.2">
      <c r="A186" s="18">
        <v>530</v>
      </c>
      <c r="B186" s="19" t="s">
        <v>184</v>
      </c>
      <c r="C186" s="19" t="s">
        <v>803</v>
      </c>
      <c r="D186" s="19" t="s">
        <v>408</v>
      </c>
      <c r="E186" s="36">
        <v>17</v>
      </c>
      <c r="F186" s="19" t="s">
        <v>325</v>
      </c>
      <c r="I186" s="1" t="str">
        <f>IF(ISBLANK(E186),"ručně doplnit",IF(E186="-","není ve výkazech",IF(C186="Rozvaha",VLOOKUP(E186,'řádky R'!$A:$B,2,0),IF(C186="Výsledovka",VLOOKUP(E186,'řádky V'!A:M,2,0)))))</f>
        <v>Daně a poplatky</v>
      </c>
      <c r="N186" s="1" t="str">
        <f>IF(ISBLANK(J186),"není alternativa",IF(J186="-","není ve výkazech",VLOOKUP(J186,'řádky R'!$A:$B,2,0)))</f>
        <v>není alternativa</v>
      </c>
      <c r="O186" s="19" t="s">
        <v>306</v>
      </c>
    </row>
    <row r="187" spans="1:15" x14ac:dyDescent="0.2">
      <c r="A187" s="18">
        <v>531</v>
      </c>
      <c r="B187" s="19" t="s">
        <v>185</v>
      </c>
      <c r="C187" s="19" t="s">
        <v>803</v>
      </c>
      <c r="D187" s="19" t="s">
        <v>408</v>
      </c>
      <c r="E187" s="36">
        <v>17</v>
      </c>
      <c r="F187" s="19" t="s">
        <v>325</v>
      </c>
      <c r="I187" s="1" t="str">
        <f>IF(ISBLANK(E187),"ručně doplnit",IF(E187="-","není ve výkazech",IF(C187="Rozvaha",VLOOKUP(E187,'řádky R'!$A:$B,2,0),IF(C187="Výsledovka",VLOOKUP(E187,'řádky V'!A:M,2,0)))))</f>
        <v>Daně a poplatky</v>
      </c>
      <c r="N187" s="1" t="str">
        <f>IF(ISBLANK(J187),"není alternativa",IF(J187="-","není ve výkazech",VLOOKUP(J187,'řádky R'!$A:$B,2,0)))</f>
        <v>není alternativa</v>
      </c>
      <c r="O187" s="19" t="s">
        <v>306</v>
      </c>
    </row>
    <row r="188" spans="1:15" x14ac:dyDescent="0.2">
      <c r="A188" s="18">
        <v>532</v>
      </c>
      <c r="B188" s="19" t="s">
        <v>186</v>
      </c>
      <c r="C188" s="19" t="s">
        <v>803</v>
      </c>
      <c r="D188" s="19" t="s">
        <v>408</v>
      </c>
      <c r="E188" s="36">
        <v>17</v>
      </c>
      <c r="F188" s="19" t="s">
        <v>325</v>
      </c>
      <c r="I188" s="1" t="str">
        <f>IF(ISBLANK(E188),"ručně doplnit",IF(E188="-","není ve výkazech",IF(C188="Rozvaha",VLOOKUP(E188,'řádky R'!$A:$B,2,0),IF(C188="Výsledovka",VLOOKUP(E188,'řádky V'!A:M,2,0)))))</f>
        <v>Daně a poplatky</v>
      </c>
      <c r="N188" s="1" t="str">
        <f>IF(ISBLANK(J188),"není alternativa",IF(J188="-","není ve výkazech",VLOOKUP(J188,'řádky R'!$A:$B,2,0)))</f>
        <v>není alternativa</v>
      </c>
      <c r="O188" s="19" t="s">
        <v>306</v>
      </c>
    </row>
    <row r="189" spans="1:15" x14ac:dyDescent="0.2">
      <c r="A189" s="18">
        <v>538</v>
      </c>
      <c r="B189" s="19" t="s">
        <v>102</v>
      </c>
      <c r="C189" s="19" t="s">
        <v>803</v>
      </c>
      <c r="D189" s="19" t="s">
        <v>408</v>
      </c>
      <c r="E189" s="36">
        <v>17</v>
      </c>
      <c r="F189" s="19" t="s">
        <v>325</v>
      </c>
      <c r="I189" s="1" t="str">
        <f>IF(ISBLANK(E189),"ručně doplnit",IF(E189="-","není ve výkazech",IF(C189="Rozvaha",VLOOKUP(E189,'řádky R'!$A:$B,2,0),IF(C189="Výsledovka",VLOOKUP(E189,'řádky V'!A:M,2,0)))))</f>
        <v>Daně a poplatky</v>
      </c>
      <c r="N189" s="1" t="str">
        <f>IF(ISBLANK(J189),"není alternativa",IF(J189="-","není ve výkazech",VLOOKUP(J189,'řádky R'!$A:$B,2,0)))</f>
        <v>není alternativa</v>
      </c>
      <c r="O189" s="19" t="s">
        <v>306</v>
      </c>
    </row>
    <row r="190" spans="1:15" x14ac:dyDescent="0.2">
      <c r="A190" s="18">
        <v>541</v>
      </c>
      <c r="B190" s="19" t="s">
        <v>187</v>
      </c>
      <c r="C190" s="19" t="s">
        <v>803</v>
      </c>
      <c r="D190" s="19" t="s">
        <v>408</v>
      </c>
      <c r="E190" s="36">
        <v>23</v>
      </c>
      <c r="F190" s="19" t="s">
        <v>401</v>
      </c>
      <c r="G190" s="19" t="s">
        <v>277</v>
      </c>
      <c r="I190" s="1" t="str">
        <f>IF(ISBLANK(E190),"ručně doplnit",IF(E190="-","není ve výkazech",IF(C190="Rozvaha",VLOOKUP(E190,'řádky R'!$A:$B,2,0),IF(C190="Výsledovka",VLOOKUP(E190,'řádky V'!A:M,2,0)))))</f>
        <v>Zůstatková cena prodaného dlouhodobého majetku</v>
      </c>
      <c r="N190" s="1" t="str">
        <f>IF(ISBLANK(J190),"není alternativa",IF(J190="-","není ve výkazech",VLOOKUP(J190,'řádky R'!$A:$B,2,0)))</f>
        <v>není alternativa</v>
      </c>
      <c r="O190" s="19" t="s">
        <v>306</v>
      </c>
    </row>
    <row r="191" spans="1:15" x14ac:dyDescent="0.2">
      <c r="A191" s="18">
        <v>542</v>
      </c>
      <c r="B191" s="19" t="s">
        <v>188</v>
      </c>
      <c r="C191" s="19" t="s">
        <v>803</v>
      </c>
      <c r="D191" s="19" t="s">
        <v>408</v>
      </c>
      <c r="E191" s="36">
        <v>24</v>
      </c>
      <c r="F191" s="19" t="s">
        <v>401</v>
      </c>
      <c r="G191" s="19" t="s">
        <v>278</v>
      </c>
      <c r="I191" s="1" t="str">
        <f>IF(ISBLANK(E191),"ručně doplnit",IF(E191="-","není ve výkazech",IF(C191="Rozvaha",VLOOKUP(E191,'řádky R'!$A:$B,2,0),IF(C191="Výsledovka",VLOOKUP(E191,'řádky V'!A:M,2,0)))))</f>
        <v>Prodaný materiál</v>
      </c>
      <c r="N191" s="1" t="str">
        <f>IF(ISBLANK(J191),"není alternativa",IF(J191="-","není ve výkazech",VLOOKUP(J191,'řádky R'!$A:$B,2,0)))</f>
        <v>není alternativa</v>
      </c>
      <c r="O191" s="19" t="s">
        <v>306</v>
      </c>
    </row>
    <row r="192" spans="1:15" x14ac:dyDescent="0.2">
      <c r="A192" s="18">
        <v>543</v>
      </c>
      <c r="B192" s="19" t="s">
        <v>189</v>
      </c>
      <c r="C192" s="19" t="s">
        <v>803</v>
      </c>
      <c r="D192" s="19" t="s">
        <v>381</v>
      </c>
      <c r="E192" s="36">
        <v>27</v>
      </c>
      <c r="F192" s="19" t="s">
        <v>403</v>
      </c>
      <c r="I192" s="1" t="str">
        <f>IF(ISBLANK(E192),"ručně doplnit",IF(E192="-","není ve výkazech",IF(C192="Rozvaha",VLOOKUP(E192,'řádky R'!$A:$B,2,0),IF(C192="Výsledovka",VLOOKUP(E192,'řádky V'!A:M,2,0)))))</f>
        <v>Ostatní provozní náklady</v>
      </c>
      <c r="N192" s="1" t="str">
        <f>IF(ISBLANK(J192),"není alternativa",IF(J192="-","není ve výkazech",VLOOKUP(J192,'řádky R'!$A:$B,2,0)))</f>
        <v>není alternativa</v>
      </c>
      <c r="O192" s="19" t="s">
        <v>306</v>
      </c>
    </row>
    <row r="193" spans="1:15" x14ac:dyDescent="0.2">
      <c r="A193" s="18">
        <v>544</v>
      </c>
      <c r="B193" s="19" t="s">
        <v>190</v>
      </c>
      <c r="C193" s="19" t="s">
        <v>803</v>
      </c>
      <c r="D193" s="19" t="s">
        <v>408</v>
      </c>
      <c r="E193" s="36">
        <v>27</v>
      </c>
      <c r="F193" s="19" t="s">
        <v>403</v>
      </c>
      <c r="I193" s="1" t="str">
        <f>IF(ISBLANK(E193),"ručně doplnit",IF(E193="-","není ve výkazech",IF(C193="Rozvaha",VLOOKUP(E193,'řádky R'!$A:$B,2,0),IF(C193="Výsledovka",VLOOKUP(E193,'řádky V'!A:M,2,0)))))</f>
        <v>Ostatní provozní náklady</v>
      </c>
      <c r="N193" s="1" t="str">
        <f>IF(ISBLANK(J193),"není alternativa",IF(J193="-","není ve výkazech",VLOOKUP(J193,'řádky R'!$A:$B,2,0)))</f>
        <v>není alternativa</v>
      </c>
      <c r="O193" s="19" t="s">
        <v>306</v>
      </c>
    </row>
    <row r="194" spans="1:15" x14ac:dyDescent="0.2">
      <c r="A194" s="18">
        <v>545</v>
      </c>
      <c r="B194" s="19" t="s">
        <v>191</v>
      </c>
      <c r="C194" s="19" t="s">
        <v>803</v>
      </c>
      <c r="D194" s="19" t="s">
        <v>381</v>
      </c>
      <c r="E194" s="36">
        <v>27</v>
      </c>
      <c r="F194" s="19" t="s">
        <v>403</v>
      </c>
      <c r="I194" s="1" t="str">
        <f>IF(ISBLANK(E194),"ručně doplnit",IF(E194="-","není ve výkazech",IF(C194="Rozvaha",VLOOKUP(E194,'řádky R'!$A:$B,2,0),IF(C194="Výsledovka",VLOOKUP(E194,'řádky V'!A:M,2,0)))))</f>
        <v>Ostatní provozní náklady</v>
      </c>
      <c r="N194" s="1" t="str">
        <f>IF(ISBLANK(J194),"není alternativa",IF(J194="-","není ve výkazech",VLOOKUP(J194,'řádky R'!$A:$B,2,0)))</f>
        <v>není alternativa</v>
      </c>
      <c r="O194" s="19" t="s">
        <v>306</v>
      </c>
    </row>
    <row r="195" spans="1:15" x14ac:dyDescent="0.2">
      <c r="A195" s="18">
        <v>546</v>
      </c>
      <c r="B195" s="19" t="s">
        <v>192</v>
      </c>
      <c r="C195" s="19" t="s">
        <v>803</v>
      </c>
      <c r="D195" s="19" t="s">
        <v>381</v>
      </c>
      <c r="E195" s="36">
        <v>27</v>
      </c>
      <c r="F195" s="19" t="s">
        <v>403</v>
      </c>
      <c r="I195" s="1" t="str">
        <f>IF(ISBLANK(E195),"ručně doplnit",IF(E195="-","není ve výkazech",IF(C195="Rozvaha",VLOOKUP(E195,'řádky R'!$A:$B,2,0),IF(C195="Výsledovka",VLOOKUP(E195,'řádky V'!A:M,2,0)))))</f>
        <v>Ostatní provozní náklady</v>
      </c>
      <c r="N195" s="1" t="str">
        <f>IF(ISBLANK(J195),"není alternativa",IF(J195="-","není ve výkazech",VLOOKUP(J195,'řádky R'!$A:$B,2,0)))</f>
        <v>není alternativa</v>
      </c>
      <c r="O195" s="19" t="s">
        <v>306</v>
      </c>
    </row>
    <row r="196" spans="1:15" x14ac:dyDescent="0.2">
      <c r="A196" s="18">
        <v>548</v>
      </c>
      <c r="B196" s="19" t="s">
        <v>193</v>
      </c>
      <c r="C196" s="19" t="s">
        <v>803</v>
      </c>
      <c r="D196" s="19" t="s">
        <v>408</v>
      </c>
      <c r="E196" s="36">
        <v>27</v>
      </c>
      <c r="F196" s="19" t="s">
        <v>403</v>
      </c>
      <c r="I196" s="1" t="str">
        <f>IF(ISBLANK(E196),"ručně doplnit",IF(E196="-","není ve výkazech",IF(C196="Rozvaha",VLOOKUP(E196,'řádky R'!$A:$B,2,0),IF(C196="Výsledovka",VLOOKUP(E196,'řádky V'!A:M,2,0)))))</f>
        <v>Ostatní provozní náklady</v>
      </c>
      <c r="N196" s="1" t="str">
        <f>IF(ISBLANK(J196),"není alternativa",IF(J196="-","není ve výkazech",VLOOKUP(J196,'řádky R'!$A:$B,2,0)))</f>
        <v>není alternativa</v>
      </c>
      <c r="O196" s="19" t="s">
        <v>306</v>
      </c>
    </row>
    <row r="197" spans="1:15" x14ac:dyDescent="0.2">
      <c r="A197" s="18">
        <v>549</v>
      </c>
      <c r="B197" s="19" t="s">
        <v>194</v>
      </c>
      <c r="C197" s="19" t="s">
        <v>803</v>
      </c>
      <c r="D197" s="19" t="s">
        <v>408</v>
      </c>
      <c r="E197" s="36">
        <v>27</v>
      </c>
      <c r="F197" s="19" t="s">
        <v>403</v>
      </c>
      <c r="I197" s="1" t="str">
        <f>IF(ISBLANK(E197),"ručně doplnit",IF(E197="-","není ve výkazech",IF(C197="Rozvaha",VLOOKUP(E197,'řádky R'!$A:$B,2,0),IF(C197="Výsledovka",VLOOKUP(E197,'řádky V'!A:M,2,0)))))</f>
        <v>Ostatní provozní náklady</v>
      </c>
      <c r="N197" s="1" t="str">
        <f>IF(ISBLANK(J197),"není alternativa",IF(J197="-","není ve výkazech",VLOOKUP(J197,'řádky R'!$A:$B,2,0)))</f>
        <v>není alternativa</v>
      </c>
      <c r="O197" s="19" t="s">
        <v>306</v>
      </c>
    </row>
    <row r="198" spans="1:15" x14ac:dyDescent="0.2">
      <c r="A198" s="18">
        <v>551</v>
      </c>
      <c r="B198" s="19" t="s">
        <v>195</v>
      </c>
      <c r="C198" s="19" t="s">
        <v>803</v>
      </c>
      <c r="D198" s="19" t="s">
        <v>408</v>
      </c>
      <c r="E198" s="36">
        <v>18</v>
      </c>
      <c r="F198" s="19" t="s">
        <v>400</v>
      </c>
      <c r="I198" s="1" t="str">
        <f>IF(ISBLANK(E198),"ručně doplnit",IF(E198="-","není ve výkazech",IF(C198="Rozvaha",VLOOKUP(E198,'řádky R'!$A:$B,2,0),IF(C198="Výsledovka",VLOOKUP(E198,'řádky V'!A:M,2,0)))))</f>
        <v>Odpisy  dlouhodobého nehmotného a hmotného majetku</v>
      </c>
      <c r="N198" s="1" t="str">
        <f>IF(ISBLANK(J198),"není alternativa",IF(J198="-","není ve výkazech",VLOOKUP(J198,'řádky R'!$A:$B,2,0)))</f>
        <v>není alternativa</v>
      </c>
      <c r="O198" s="19" t="s">
        <v>306</v>
      </c>
    </row>
    <row r="199" spans="1:15" x14ac:dyDescent="0.2">
      <c r="A199" s="18">
        <v>552</v>
      </c>
      <c r="B199" s="19" t="s">
        <v>196</v>
      </c>
      <c r="C199" s="19" t="s">
        <v>803</v>
      </c>
      <c r="D199" s="19" t="s">
        <v>408</v>
      </c>
      <c r="E199" s="36">
        <v>25</v>
      </c>
      <c r="F199" s="19" t="s">
        <v>402</v>
      </c>
      <c r="I199" s="1" t="str">
        <f>IF(ISBLANK(E199),"ručně doplnit",IF(E199="-","není ve výkazech",IF(C199="Rozvaha",VLOOKUP(E199,'řádky R'!$A:$B,2,0),IF(C199="Výsledovka",VLOOKUP(E199,'řádky V'!A:M,2,0)))))</f>
        <v>Změna stavu rezerv a opravných položek v provozní oblasti a komplexních nákladů příštích období</v>
      </c>
      <c r="N199" s="1" t="str">
        <f>IF(ISBLANK(J199),"není alternativa",IF(J199="-","není ve výkazech",VLOOKUP(J199,'řádky R'!$A:$B,2,0)))</f>
        <v>není alternativa</v>
      </c>
      <c r="O199" s="19" t="s">
        <v>306</v>
      </c>
    </row>
    <row r="200" spans="1:15" x14ac:dyDescent="0.2">
      <c r="A200" s="18">
        <v>554</v>
      </c>
      <c r="B200" s="19" t="s">
        <v>197</v>
      </c>
      <c r="C200" s="19" t="s">
        <v>803</v>
      </c>
      <c r="D200" s="19" t="s">
        <v>381</v>
      </c>
      <c r="E200" s="36">
        <v>25</v>
      </c>
      <c r="F200" s="19" t="s">
        <v>402</v>
      </c>
      <c r="I200" s="1" t="str">
        <f>IF(ISBLANK(E200),"ručně doplnit",IF(E200="-","není ve výkazech",IF(C200="Rozvaha",VLOOKUP(E200,'řádky R'!$A:$B,2,0),IF(C200="Výsledovka",VLOOKUP(E200,'řádky V'!A:M,2,0)))))</f>
        <v>Změna stavu rezerv a opravných položek v provozní oblasti a komplexních nákladů příštích období</v>
      </c>
      <c r="N200" s="1" t="str">
        <f>IF(ISBLANK(J200),"není alternativa",IF(J200="-","není ve výkazech",VLOOKUP(J200,'řádky R'!$A:$B,2,0)))</f>
        <v>není alternativa</v>
      </c>
      <c r="O200" s="19" t="s">
        <v>306</v>
      </c>
    </row>
    <row r="201" spans="1:15" x14ac:dyDescent="0.2">
      <c r="A201" s="18">
        <v>555</v>
      </c>
      <c r="B201" s="19" t="s">
        <v>198</v>
      </c>
      <c r="C201" s="19" t="s">
        <v>803</v>
      </c>
      <c r="D201" s="19" t="s">
        <v>408</v>
      </c>
      <c r="E201" s="36">
        <v>25</v>
      </c>
      <c r="F201" s="19" t="s">
        <v>402</v>
      </c>
      <c r="I201" s="1" t="str">
        <f>IF(ISBLANK(E201),"ručně doplnit",IF(E201="-","není ve výkazech",IF(C201="Rozvaha",VLOOKUP(E201,'řádky R'!$A:$B,2,0),IF(C201="Výsledovka",VLOOKUP(E201,'řádky V'!A:M,2,0)))))</f>
        <v>Změna stavu rezerv a opravných položek v provozní oblasti a komplexních nákladů příštích období</v>
      </c>
      <c r="N201" s="1" t="str">
        <f>IF(ISBLANK(J201),"není alternativa",IF(J201="-","není ve výkazech",VLOOKUP(J201,'řádky R'!$A:$B,2,0)))</f>
        <v>není alternativa</v>
      </c>
      <c r="O201" s="19" t="s">
        <v>306</v>
      </c>
    </row>
    <row r="202" spans="1:15" x14ac:dyDescent="0.2">
      <c r="A202" s="18">
        <v>557</v>
      </c>
      <c r="B202" s="19" t="s">
        <v>199</v>
      </c>
      <c r="C202" s="19" t="s">
        <v>803</v>
      </c>
      <c r="D202" s="19" t="s">
        <v>381</v>
      </c>
      <c r="E202" s="36">
        <v>18</v>
      </c>
      <c r="F202" s="19" t="s">
        <v>400</v>
      </c>
      <c r="I202" s="1" t="str">
        <f>IF(ISBLANK(E202),"ručně doplnit",IF(E202="-","není ve výkazech",IF(C202="Rozvaha",VLOOKUP(E202,'řádky R'!$A:$B,2,0),IF(C202="Výsledovka",VLOOKUP(E202,'řádky V'!A:M,2,0)))))</f>
        <v>Odpisy  dlouhodobého nehmotného a hmotného majetku</v>
      </c>
      <c r="N202" s="1" t="str">
        <f>IF(ISBLANK(J202),"není alternativa",IF(J202="-","není ve výkazech",VLOOKUP(J202,'řádky R'!$A:$B,2,0)))</f>
        <v>není alternativa</v>
      </c>
      <c r="O202" s="19" t="s">
        <v>306</v>
      </c>
    </row>
    <row r="203" spans="1:15" x14ac:dyDescent="0.2">
      <c r="A203" s="18">
        <v>558</v>
      </c>
      <c r="B203" s="19" t="s">
        <v>200</v>
      </c>
      <c r="C203" s="19" t="s">
        <v>803</v>
      </c>
      <c r="D203" s="19" t="s">
        <v>408</v>
      </c>
      <c r="E203" s="36">
        <v>25</v>
      </c>
      <c r="F203" s="19" t="s">
        <v>402</v>
      </c>
      <c r="I203" s="1" t="str">
        <f>IF(ISBLANK(E203),"ručně doplnit",IF(E203="-","není ve výkazech",IF(C203="Rozvaha",VLOOKUP(E203,'řádky R'!$A:$B,2,0),IF(C203="Výsledovka",VLOOKUP(E203,'řádky V'!A:M,2,0)))))</f>
        <v>Změna stavu rezerv a opravných položek v provozní oblasti a komplexních nákladů příštích období</v>
      </c>
      <c r="N203" s="1" t="str">
        <f>IF(ISBLANK(J203),"není alternativa",IF(J203="-","není ve výkazech",VLOOKUP(J203,'řádky R'!$A:$B,2,0)))</f>
        <v>není alternativa</v>
      </c>
      <c r="O203" s="19" t="s">
        <v>306</v>
      </c>
    </row>
    <row r="204" spans="1:15" x14ac:dyDescent="0.2">
      <c r="A204" s="18">
        <v>559</v>
      </c>
      <c r="B204" s="19" t="s">
        <v>201</v>
      </c>
      <c r="C204" s="19" t="s">
        <v>803</v>
      </c>
      <c r="D204" s="19" t="s">
        <v>381</v>
      </c>
      <c r="E204" s="36">
        <v>25</v>
      </c>
      <c r="F204" s="19" t="s">
        <v>402</v>
      </c>
      <c r="I204" s="1" t="str">
        <f>IF(ISBLANK(E204),"ručně doplnit",IF(E204="-","není ve výkazech",IF(C204="Rozvaha",VLOOKUP(E204,'řádky R'!$A:$B,2,0),IF(C204="Výsledovka",VLOOKUP(E204,'řádky V'!A:M,2,0)))))</f>
        <v>Změna stavu rezerv a opravných položek v provozní oblasti a komplexních nákladů příštích období</v>
      </c>
      <c r="N204" s="1" t="str">
        <f>IF(ISBLANK(J204),"není alternativa",IF(J204="-","není ve výkazech",VLOOKUP(J204,'řádky R'!$A:$B,2,0)))</f>
        <v>není alternativa</v>
      </c>
      <c r="O204" s="19" t="s">
        <v>306</v>
      </c>
    </row>
    <row r="205" spans="1:15" x14ac:dyDescent="0.2">
      <c r="A205" s="18">
        <v>561</v>
      </c>
      <c r="B205" s="19" t="s">
        <v>202</v>
      </c>
      <c r="C205" s="19" t="s">
        <v>803</v>
      </c>
      <c r="D205" s="19" t="s">
        <v>408</v>
      </c>
      <c r="E205" s="36">
        <v>32</v>
      </c>
      <c r="F205" s="19" t="s">
        <v>428</v>
      </c>
      <c r="I205" s="1" t="str">
        <f>IF(ISBLANK(E205),"ručně doplnit",IF(E205="-","není ve výkazech",IF(C205="Rozvaha",VLOOKUP(E205,'řádky R'!$A:$B,2,0),IF(C205="Výsledovka",VLOOKUP(E205,'řádky V'!A:M,2,0)))))</f>
        <v>Prodané cenné papíry a podíly</v>
      </c>
      <c r="N205" s="1" t="str">
        <f>IF(ISBLANK(J205),"není alternativa",IF(J205="-","není ve výkazech",VLOOKUP(J205,'řádky R'!$A:$B,2,0)))</f>
        <v>není alternativa</v>
      </c>
      <c r="O205" s="19" t="s">
        <v>306</v>
      </c>
    </row>
    <row r="206" spans="1:15" x14ac:dyDescent="0.2">
      <c r="A206" s="18">
        <v>562</v>
      </c>
      <c r="B206" s="19" t="s">
        <v>203</v>
      </c>
      <c r="C206" s="19" t="s">
        <v>803</v>
      </c>
      <c r="D206" s="19" t="s">
        <v>408</v>
      </c>
      <c r="E206" s="36">
        <v>43</v>
      </c>
      <c r="F206" s="19" t="s">
        <v>436</v>
      </c>
      <c r="I206" s="1" t="str">
        <f>IF(ISBLANK(E206),"ručně doplnit",IF(E206="-","není ve výkazech",IF(C206="Rozvaha",VLOOKUP(E206,'řádky R'!$A:$B,2,0),IF(C206="Výsledovka",VLOOKUP(E206,'řádky V'!A:M,2,0)))))</f>
        <v>Nákladové úroky</v>
      </c>
      <c r="N206" s="1" t="str">
        <f>IF(ISBLANK(J206),"není alternativa",IF(J206="-","není ve výkazech",VLOOKUP(J206,'řádky R'!$A:$B,2,0)))</f>
        <v>není alternativa</v>
      </c>
      <c r="O206" s="19" t="s">
        <v>306</v>
      </c>
    </row>
    <row r="207" spans="1:15" x14ac:dyDescent="0.2">
      <c r="A207" s="18">
        <v>563</v>
      </c>
      <c r="B207" s="19" t="s">
        <v>204</v>
      </c>
      <c r="C207" s="19" t="s">
        <v>803</v>
      </c>
      <c r="D207" s="19" t="s">
        <v>408</v>
      </c>
      <c r="E207" s="36">
        <v>45</v>
      </c>
      <c r="F207" s="19" t="s">
        <v>438</v>
      </c>
      <c r="I207" s="1" t="str">
        <f>IF(ISBLANK(E207),"ručně doplnit",IF(E207="-","není ve výkazech",IF(C207="Rozvaha",VLOOKUP(E207,'řádky R'!$A:$B,2,0),IF(C207="Výsledovka",VLOOKUP(E207,'řádky V'!A:M,2,0)))))</f>
        <v>Ostatní finanční náklady</v>
      </c>
      <c r="N207" s="1" t="str">
        <f>IF(ISBLANK(J207),"není alternativa",IF(J207="-","není ve výkazech",VLOOKUP(J207,'řádky R'!$A:$B,2,0)))</f>
        <v>není alternativa</v>
      </c>
      <c r="O207" s="19" t="s">
        <v>306</v>
      </c>
    </row>
    <row r="208" spans="1:15" x14ac:dyDescent="0.2">
      <c r="A208" s="18">
        <v>564</v>
      </c>
      <c r="B208" s="19" t="s">
        <v>205</v>
      </c>
      <c r="C208" s="19" t="s">
        <v>803</v>
      </c>
      <c r="D208" s="19" t="s">
        <v>408</v>
      </c>
      <c r="E208" s="36">
        <v>40</v>
      </c>
      <c r="F208" s="19" t="s">
        <v>433</v>
      </c>
      <c r="I208" s="1" t="str">
        <f>IF(ISBLANK(E208),"ručně doplnit",IF(E208="-","není ve výkazech",IF(C208="Rozvaha",VLOOKUP(E208,'řádky R'!$A:$B,2,0),IF(C208="Výsledovka",VLOOKUP(E208,'řádky V'!A:M,2,0)))))</f>
        <v>Náklady z přecenění cenných papírů a derivátů</v>
      </c>
      <c r="N208" s="1" t="str">
        <f>IF(ISBLANK(J208),"není alternativa",IF(J208="-","není ve výkazech",VLOOKUP(J208,'řádky R'!$A:$B,2,0)))</f>
        <v>není alternativa</v>
      </c>
      <c r="O208" s="19" t="s">
        <v>306</v>
      </c>
    </row>
    <row r="209" spans="1:15" x14ac:dyDescent="0.2">
      <c r="A209" s="18">
        <v>566</v>
      </c>
      <c r="B209" s="19" t="s">
        <v>206</v>
      </c>
      <c r="C209" s="19" t="s">
        <v>803</v>
      </c>
      <c r="D209" s="19" t="s">
        <v>408</v>
      </c>
      <c r="E209" s="36">
        <v>38</v>
      </c>
      <c r="F209" s="19" t="s">
        <v>431</v>
      </c>
      <c r="I209" s="1" t="str">
        <f>IF(ISBLANK(E209),"ručně doplnit",IF(E209="-","není ve výkazech",IF(C209="Rozvaha",VLOOKUP(E209,'řádky R'!$A:$B,2,0),IF(C209="Výsledovka",VLOOKUP(E209,'řádky V'!A:M,2,0)))))</f>
        <v>Náklady z finančního majetku</v>
      </c>
      <c r="N209" s="1" t="str">
        <f>IF(ISBLANK(J209),"není alternativa",IF(J209="-","není ve výkazech",VLOOKUP(J209,'řádky R'!$A:$B,2,0)))</f>
        <v>není alternativa</v>
      </c>
      <c r="O209" s="19" t="s">
        <v>306</v>
      </c>
    </row>
    <row r="210" spans="1:15" x14ac:dyDescent="0.2">
      <c r="A210" s="18">
        <v>567</v>
      </c>
      <c r="B210" s="19" t="s">
        <v>207</v>
      </c>
      <c r="C210" s="19" t="s">
        <v>803</v>
      </c>
      <c r="D210" s="19" t="s">
        <v>408</v>
      </c>
      <c r="E210" s="36">
        <v>40</v>
      </c>
      <c r="F210" s="19" t="s">
        <v>433</v>
      </c>
      <c r="I210" s="1" t="str">
        <f>IF(ISBLANK(E210),"ručně doplnit",IF(E210="-","není ve výkazech",IF(C210="Rozvaha",VLOOKUP(E210,'řádky R'!$A:$B,2,0),IF(C210="Výsledovka",VLOOKUP(E210,'řádky V'!A:M,2,0)))))</f>
        <v>Náklady z přecenění cenných papírů a derivátů</v>
      </c>
      <c r="N210" s="1" t="str">
        <f>IF(ISBLANK(J210),"není alternativa",IF(J210="-","není ve výkazech",VLOOKUP(J210,'řádky R'!$A:$B,2,0)))</f>
        <v>není alternativa</v>
      </c>
      <c r="O210" s="19" t="s">
        <v>306</v>
      </c>
    </row>
    <row r="211" spans="1:15" x14ac:dyDescent="0.2">
      <c r="A211" s="18">
        <v>568</v>
      </c>
      <c r="B211" s="19" t="s">
        <v>208</v>
      </c>
      <c r="C211" s="19" t="s">
        <v>803</v>
      </c>
      <c r="D211" s="19" t="s">
        <v>408</v>
      </c>
      <c r="E211" s="36">
        <v>45</v>
      </c>
      <c r="F211" s="19" t="s">
        <v>438</v>
      </c>
      <c r="I211" s="1" t="str">
        <f>IF(ISBLANK(E211),"ručně doplnit",IF(E211="-","není ve výkazech",IF(C211="Rozvaha",VLOOKUP(E211,'řádky R'!$A:$B,2,0),IF(C211="Výsledovka",VLOOKUP(E211,'řádky V'!A:M,2,0)))))</f>
        <v>Ostatní finanční náklady</v>
      </c>
      <c r="N211" s="1" t="str">
        <f>IF(ISBLANK(J211),"není alternativa",IF(J211="-","není ve výkazech",VLOOKUP(J211,'řádky R'!$A:$B,2,0)))</f>
        <v>není alternativa</v>
      </c>
      <c r="O211" s="19" t="s">
        <v>306</v>
      </c>
    </row>
    <row r="212" spans="1:15" x14ac:dyDescent="0.2">
      <c r="A212" s="18">
        <v>569</v>
      </c>
      <c r="B212" s="19" t="s">
        <v>209</v>
      </c>
      <c r="C212" s="19" t="s">
        <v>803</v>
      </c>
      <c r="D212" s="19" t="s">
        <v>408</v>
      </c>
      <c r="E212" s="36">
        <v>45</v>
      </c>
      <c r="F212" s="19" t="s">
        <v>438</v>
      </c>
      <c r="I212" s="1" t="str">
        <f>IF(ISBLANK(E212),"ručně doplnit",IF(E212="-","není ve výkazech",IF(C212="Rozvaha",VLOOKUP(E212,'řádky R'!$A:$B,2,0),IF(C212="Výsledovka",VLOOKUP(E212,'řádky V'!A:M,2,0)))))</f>
        <v>Ostatní finanční náklady</v>
      </c>
      <c r="N212" s="1" t="str">
        <f>IF(ISBLANK(J212),"není alternativa",IF(J212="-","není ve výkazech",VLOOKUP(J212,'řádky R'!$A:$B,2,0)))</f>
        <v>není alternativa</v>
      </c>
      <c r="O212" s="19" t="s">
        <v>306</v>
      </c>
    </row>
    <row r="213" spans="1:15" x14ac:dyDescent="0.2">
      <c r="A213" s="18">
        <v>574</v>
      </c>
      <c r="B213" s="19" t="s">
        <v>210</v>
      </c>
      <c r="C213" s="19" t="s">
        <v>803</v>
      </c>
      <c r="D213" s="19" t="s">
        <v>381</v>
      </c>
      <c r="E213" s="36">
        <v>41</v>
      </c>
      <c r="F213" s="19" t="s">
        <v>434</v>
      </c>
      <c r="I213" s="1" t="str">
        <f>IF(ISBLANK(E213),"ručně doplnit",IF(E213="-","není ve výkazech",IF(C213="Rozvaha",VLOOKUP(E213,'řádky R'!$A:$B,2,0),IF(C213="Výsledovka",VLOOKUP(E213,'řádky V'!A:M,2,0)))))</f>
        <v>Změna stavu rezerv a opravných položek ve finanční oblasti</v>
      </c>
      <c r="N213" s="1" t="str">
        <f>IF(ISBLANK(J213),"není alternativa",IF(J213="-","není ve výkazech",VLOOKUP(J213,'řádky R'!$A:$B,2,0)))</f>
        <v>není alternativa</v>
      </c>
      <c r="O213" s="19" t="s">
        <v>306</v>
      </c>
    </row>
    <row r="214" spans="1:15" x14ac:dyDescent="0.2">
      <c r="A214" s="18">
        <v>579</v>
      </c>
      <c r="B214" s="19" t="s">
        <v>211</v>
      </c>
      <c r="C214" s="19" t="s">
        <v>803</v>
      </c>
      <c r="D214" s="19" t="s">
        <v>381</v>
      </c>
      <c r="E214" s="36">
        <v>41</v>
      </c>
      <c r="F214" s="19" t="s">
        <v>434</v>
      </c>
      <c r="I214" s="1" t="str">
        <f>IF(ISBLANK(E214),"ručně doplnit",IF(E214="-","není ve výkazech",IF(C214="Rozvaha",VLOOKUP(E214,'řádky R'!$A:$B,2,0),IF(C214="Výsledovka",VLOOKUP(E214,'řádky V'!A:M,2,0)))))</f>
        <v>Změna stavu rezerv a opravných položek ve finanční oblasti</v>
      </c>
      <c r="N214" s="1" t="str">
        <f>IF(ISBLANK(J214),"není alternativa",IF(J214="-","není ve výkazech",VLOOKUP(J214,'řádky R'!$A:$B,2,0)))</f>
        <v>není alternativa</v>
      </c>
      <c r="O214" s="19" t="s">
        <v>306</v>
      </c>
    </row>
    <row r="215" spans="1:15" x14ac:dyDescent="0.2">
      <c r="A215" s="18">
        <v>580</v>
      </c>
      <c r="B215" s="19" t="s">
        <v>212</v>
      </c>
      <c r="C215" s="19" t="s">
        <v>803</v>
      </c>
      <c r="D215" s="19" t="s">
        <v>381</v>
      </c>
      <c r="I215" s="1" t="str">
        <f>IF(ISBLANK(E215),"ručně doplnit",IF(E215="-","není ve výkazech",IF(C215="Rozvaha",VLOOKUP(E215,'řádky R'!$A:$B,2,0),IF(C215="Výsledovka",VLOOKUP(E215,'řádky V'!A:M,2,0)))))</f>
        <v>ručně doplnit</v>
      </c>
      <c r="N215" s="1" t="str">
        <f>IF(ISBLANK(J215),"není alternativa",IF(J215="-","není ve výkazech",VLOOKUP(J215,'řádky R'!$A:$B,2,0)))</f>
        <v>není alternativa</v>
      </c>
      <c r="O215" s="19" t="s">
        <v>306</v>
      </c>
    </row>
    <row r="216" spans="1:15" x14ac:dyDescent="0.2">
      <c r="A216" s="18">
        <v>581</v>
      </c>
      <c r="B216" s="19" t="s">
        <v>213</v>
      </c>
      <c r="C216" s="19" t="s">
        <v>803</v>
      </c>
      <c r="D216" s="19" t="s">
        <v>408</v>
      </c>
      <c r="I216" s="1" t="str">
        <f>IF(ISBLANK(E216),"ručně doplnit",IF(E216="-","není ve výkazech",IF(C216="Rozvaha",VLOOKUP(E216,'řádky R'!$A:$B,2,0),IF(C216="Výsledovka",VLOOKUP(E216,'řádky V'!A:M,2,0)))))</f>
        <v>ručně doplnit</v>
      </c>
      <c r="N216" s="1" t="str">
        <f>IF(ISBLANK(J216),"není alternativa",IF(J216="-","není ve výkazech",VLOOKUP(J216,'řádky R'!$A:$B,2,0)))</f>
        <v>není alternativa</v>
      </c>
      <c r="O216" s="19" t="s">
        <v>306</v>
      </c>
    </row>
    <row r="217" spans="1:15" x14ac:dyDescent="0.2">
      <c r="A217" s="18">
        <v>582</v>
      </c>
      <c r="B217" s="19" t="s">
        <v>214</v>
      </c>
      <c r="C217" s="19" t="s">
        <v>803</v>
      </c>
      <c r="D217" s="19" t="s">
        <v>381</v>
      </c>
      <c r="E217" s="36">
        <v>54</v>
      </c>
      <c r="F217" s="19" t="s">
        <v>441</v>
      </c>
      <c r="I217" s="1" t="str">
        <f>IF(ISBLANK(E217),"ručně doplnit",IF(E217="-","není ve výkazech",IF(C217="Rozvaha",VLOOKUP(E217,'řádky R'!$A:$B,2,0),IF(C217="Výsledovka",VLOOKUP(E217,'řádky V'!A:M,2,0)))))</f>
        <v>Mimořádné náklady</v>
      </c>
      <c r="N217" s="1" t="str">
        <f>IF(ISBLANK(J217),"není alternativa",IF(J217="-","není ve výkazech",VLOOKUP(J217,'řádky R'!$A:$B,2,0)))</f>
        <v>není alternativa</v>
      </c>
      <c r="O217" s="19" t="s">
        <v>306</v>
      </c>
    </row>
    <row r="218" spans="1:15" x14ac:dyDescent="0.2">
      <c r="A218" s="18">
        <v>584</v>
      </c>
      <c r="B218" s="19" t="s">
        <v>215</v>
      </c>
      <c r="C218" s="19" t="s">
        <v>803</v>
      </c>
      <c r="D218" s="19" t="s">
        <v>381</v>
      </c>
      <c r="E218" s="36">
        <v>54</v>
      </c>
      <c r="F218" s="19" t="s">
        <v>441</v>
      </c>
      <c r="I218" s="1" t="str">
        <f>IF(ISBLANK(E218),"ručně doplnit",IF(E218="-","není ve výkazech",IF(C218="Rozvaha",VLOOKUP(E218,'řádky R'!$A:$B,2,0),IF(C218="Výsledovka",VLOOKUP(E218,'řádky V'!A:M,2,0)))))</f>
        <v>Mimořádné náklady</v>
      </c>
      <c r="N218" s="1" t="str">
        <f>IF(ISBLANK(J218),"není alternativa",IF(J218="-","není ve výkazech",VLOOKUP(J218,'řádky R'!$A:$B,2,0)))</f>
        <v>není alternativa</v>
      </c>
      <c r="O218" s="19" t="s">
        <v>306</v>
      </c>
    </row>
    <row r="219" spans="1:15" x14ac:dyDescent="0.2">
      <c r="A219" s="18">
        <v>588</v>
      </c>
      <c r="B219" s="19" t="s">
        <v>216</v>
      </c>
      <c r="C219" s="19" t="s">
        <v>803</v>
      </c>
      <c r="D219" s="19" t="s">
        <v>381</v>
      </c>
      <c r="E219" s="36">
        <v>54</v>
      </c>
      <c r="F219" s="19" t="s">
        <v>441</v>
      </c>
      <c r="I219" s="1" t="str">
        <f>IF(ISBLANK(E219),"ručně doplnit",IF(E219="-","není ve výkazech",IF(C219="Rozvaha",VLOOKUP(E219,'řádky R'!$A:$B,2,0),IF(C219="Výsledovka",VLOOKUP(E219,'řádky V'!A:M,2,0)))))</f>
        <v>Mimořádné náklady</v>
      </c>
      <c r="N219" s="1" t="str">
        <f>IF(ISBLANK(J219),"není alternativa",IF(J219="-","není ve výkazech",VLOOKUP(J219,'řádky R'!$A:$B,2,0)))</f>
        <v>není alternativa</v>
      </c>
      <c r="O219" s="19" t="s">
        <v>306</v>
      </c>
    </row>
    <row r="220" spans="1:15" x14ac:dyDescent="0.2">
      <c r="A220" s="18">
        <v>589</v>
      </c>
      <c r="B220" s="19" t="s">
        <v>217</v>
      </c>
      <c r="C220" s="19" t="s">
        <v>803</v>
      </c>
      <c r="D220" s="19" t="s">
        <v>381</v>
      </c>
      <c r="E220" s="36">
        <v>54</v>
      </c>
      <c r="F220" s="19" t="s">
        <v>441</v>
      </c>
      <c r="I220" s="1" t="str">
        <f>IF(ISBLANK(E220),"ručně doplnit",IF(E220="-","není ve výkazech",IF(C220="Rozvaha",VLOOKUP(E220,'řádky R'!$A:$B,2,0),IF(C220="Výsledovka",VLOOKUP(E220,'řádky V'!A:M,2,0)))))</f>
        <v>Mimořádné náklady</v>
      </c>
      <c r="N220" s="1" t="str">
        <f>IF(ISBLANK(J220),"není alternativa",IF(J220="-","není ve výkazech",VLOOKUP(J220,'řádky R'!$A:$B,2,0)))</f>
        <v>není alternativa</v>
      </c>
      <c r="O220" s="19" t="s">
        <v>306</v>
      </c>
    </row>
    <row r="221" spans="1:15" x14ac:dyDescent="0.2">
      <c r="A221" s="18">
        <v>591</v>
      </c>
      <c r="B221" s="19" t="s">
        <v>218</v>
      </c>
      <c r="C221" s="19" t="s">
        <v>803</v>
      </c>
      <c r="D221" s="19" t="s">
        <v>381</v>
      </c>
      <c r="E221" s="36">
        <v>50</v>
      </c>
      <c r="F221" s="19" t="s">
        <v>442</v>
      </c>
      <c r="G221" s="19" t="s">
        <v>277</v>
      </c>
      <c r="I221" s="1" t="str">
        <f>IF(ISBLANK(E221),"ručně doplnit",IF(E221="-","není ve výkazech",IF(C221="Rozvaha",VLOOKUP(E221,'řádky R'!$A:$B,2,0),IF(C221="Výsledovka",VLOOKUP(E221,'řádky V'!A:M,2,0)))))</f>
        <v xml:space="preserve">     - splatná</v>
      </c>
      <c r="N221" s="1" t="str">
        <f>IF(ISBLANK(J221),"není alternativa",IF(J221="-","není ve výkazech",VLOOKUP(J221,'řádky R'!$A:$B,2,0)))</f>
        <v>není alternativa</v>
      </c>
      <c r="O221" s="19" t="s">
        <v>306</v>
      </c>
    </row>
    <row r="222" spans="1:15" x14ac:dyDescent="0.2">
      <c r="A222" s="18">
        <v>592</v>
      </c>
      <c r="B222" s="19" t="s">
        <v>219</v>
      </c>
      <c r="C222" s="19" t="s">
        <v>803</v>
      </c>
      <c r="D222" s="19" t="s">
        <v>381</v>
      </c>
      <c r="E222" s="36">
        <v>51</v>
      </c>
      <c r="F222" s="19" t="s">
        <v>442</v>
      </c>
      <c r="G222" s="19" t="s">
        <v>278</v>
      </c>
      <c r="I222" s="1" t="str">
        <f>IF(ISBLANK(E222),"ručně doplnit",IF(E222="-","není ve výkazech",IF(C222="Rozvaha",VLOOKUP(E222,'řádky R'!$A:$B,2,0),IF(C222="Výsledovka",VLOOKUP(E222,'řádky V'!A:M,2,0)))))</f>
        <v xml:space="preserve">     - odložená</v>
      </c>
      <c r="N222" s="1" t="str">
        <f>IF(ISBLANK(J222),"není alternativa",IF(J222="-","není ve výkazech",VLOOKUP(J222,'řádky R'!$A:$B,2,0)))</f>
        <v>není alternativa</v>
      </c>
      <c r="O222" s="19" t="s">
        <v>306</v>
      </c>
    </row>
    <row r="223" spans="1:15" x14ac:dyDescent="0.2">
      <c r="A223" s="18">
        <v>593</v>
      </c>
      <c r="B223" s="19" t="s">
        <v>220</v>
      </c>
      <c r="C223" s="19" t="s">
        <v>803</v>
      </c>
      <c r="D223" s="19" t="s">
        <v>381</v>
      </c>
      <c r="E223" s="36">
        <v>56</v>
      </c>
      <c r="F223" s="19" t="s">
        <v>443</v>
      </c>
      <c r="G223" s="19" t="s">
        <v>277</v>
      </c>
      <c r="I223" s="1" t="str">
        <f>IF(ISBLANK(E223),"ručně doplnit",IF(E223="-","není ve výkazech",IF(C223="Rozvaha",VLOOKUP(E223,'řádky R'!$A:$B,2,0),IF(C223="Výsledovka",VLOOKUP(E223,'řádky V'!A:M,2,0)))))</f>
        <v xml:space="preserve">     - splatná</v>
      </c>
      <c r="N223" s="1" t="str">
        <f>IF(ISBLANK(J223),"není alternativa",IF(J223="-","není ve výkazech",VLOOKUP(J223,'řádky R'!$A:$B,2,0)))</f>
        <v>není alternativa</v>
      </c>
      <c r="O223" s="19" t="s">
        <v>306</v>
      </c>
    </row>
    <row r="224" spans="1:15" x14ac:dyDescent="0.2">
      <c r="A224" s="18">
        <v>594</v>
      </c>
      <c r="B224" s="19" t="s">
        <v>221</v>
      </c>
      <c r="C224" s="19" t="s">
        <v>803</v>
      </c>
      <c r="D224" s="19" t="s">
        <v>381</v>
      </c>
      <c r="E224" s="36">
        <v>57</v>
      </c>
      <c r="F224" s="19" t="s">
        <v>443</v>
      </c>
      <c r="G224" s="19" t="s">
        <v>278</v>
      </c>
      <c r="I224" s="1" t="str">
        <f>IF(ISBLANK(E224),"ručně doplnit",IF(E224="-","není ve výkazech",IF(C224="Rozvaha",VLOOKUP(E224,'řádky R'!$A:$B,2,0),IF(C224="Výsledovka",VLOOKUP(E224,'řádky V'!A:M,2,0)))))</f>
        <v xml:space="preserve">     - odložená</v>
      </c>
      <c r="N224" s="1" t="str">
        <f>IF(ISBLANK(J224),"není alternativa",IF(J224="-","není ve výkazech",VLOOKUP(J224,'řádky R'!$A:$B,2,0)))</f>
        <v>není alternativa</v>
      </c>
      <c r="O224" s="19" t="s">
        <v>306</v>
      </c>
    </row>
    <row r="225" spans="1:15" x14ac:dyDescent="0.2">
      <c r="A225" s="18">
        <v>595</v>
      </c>
      <c r="B225" s="19" t="s">
        <v>222</v>
      </c>
      <c r="C225" s="19" t="s">
        <v>803</v>
      </c>
      <c r="D225" s="19" t="s">
        <v>381</v>
      </c>
      <c r="E225" s="36">
        <v>50</v>
      </c>
      <c r="F225" s="19" t="s">
        <v>442</v>
      </c>
      <c r="G225" s="19" t="s">
        <v>277</v>
      </c>
      <c r="I225" s="1" t="str">
        <f>IF(ISBLANK(E225),"ručně doplnit",IF(E225="-","není ve výkazech",IF(C225="Rozvaha",VLOOKUP(E225,'řádky R'!$A:$B,2,0),IF(C225="Výsledovka",VLOOKUP(E225,'řádky V'!A:M,2,0)))))</f>
        <v xml:space="preserve">     - splatná</v>
      </c>
      <c r="N225" s="1" t="str">
        <f>IF(ISBLANK(J225),"není alternativa",IF(J225="-","není ve výkazech",VLOOKUP(J225,'řádky R'!$A:$B,2,0)))</f>
        <v>není alternativa</v>
      </c>
      <c r="O225" s="19" t="s">
        <v>306</v>
      </c>
    </row>
    <row r="226" spans="1:15" x14ac:dyDescent="0.2">
      <c r="A226" s="18">
        <v>596</v>
      </c>
      <c r="B226" s="19" t="s">
        <v>223</v>
      </c>
      <c r="C226" s="19" t="s">
        <v>803</v>
      </c>
      <c r="D226" s="19" t="s">
        <v>381</v>
      </c>
      <c r="E226" s="36">
        <v>59</v>
      </c>
      <c r="F226" s="19" t="s">
        <v>444</v>
      </c>
      <c r="I226" s="1" t="str">
        <f>IF(ISBLANK(E226),"ručně doplnit",IF(E226="-","není ve výkazech",IF(C226="Rozvaha",VLOOKUP(E226,'řádky R'!$A:$B,2,0),IF(C226="Výsledovka",VLOOKUP(E226,'řádky V'!A:M,2,0)))))</f>
        <v>Převod podílu na výsledku hospodaření společníkům (+/-)</v>
      </c>
      <c r="N226" s="1" t="str">
        <f>IF(ISBLANK(J226),"není alternativa",IF(J226="-","není ve výkazech",VLOOKUP(J226,'řádky R'!$A:$B,2,0)))</f>
        <v>není alternativa</v>
      </c>
      <c r="O226" s="19" t="s">
        <v>306</v>
      </c>
    </row>
    <row r="227" spans="1:15" x14ac:dyDescent="0.2">
      <c r="A227" s="18">
        <v>597</v>
      </c>
      <c r="B227" s="19" t="s">
        <v>224</v>
      </c>
      <c r="C227" s="19" t="s">
        <v>803</v>
      </c>
      <c r="D227" s="19" t="s">
        <v>408</v>
      </c>
      <c r="E227" s="36">
        <v>28</v>
      </c>
      <c r="F227" s="19" t="s">
        <v>276</v>
      </c>
      <c r="I227" s="1" t="str">
        <f>IF(ISBLANK(E227),"ručně doplnit",IF(E227="-","není ve výkazech",IF(C227="Rozvaha",VLOOKUP(E227,'řádky R'!$A:$B,2,0),IF(C227="Výsledovka",VLOOKUP(E227,'řádky V'!A:M,2,0)))))</f>
        <v>Převod provozních výnosů</v>
      </c>
      <c r="N227" s="1" t="str">
        <f>IF(ISBLANK(J227),"není alternativa",IF(J227="-","není ve výkazech",VLOOKUP(J227,'řádky R'!$A:$B,2,0)))</f>
        <v>není alternativa</v>
      </c>
      <c r="O227" s="19" t="s">
        <v>306</v>
      </c>
    </row>
    <row r="228" spans="1:15" x14ac:dyDescent="0.2">
      <c r="A228" s="18">
        <v>598</v>
      </c>
      <c r="B228" s="19" t="s">
        <v>225</v>
      </c>
      <c r="C228" s="19" t="s">
        <v>803</v>
      </c>
      <c r="D228" s="19" t="s">
        <v>408</v>
      </c>
      <c r="E228" s="36">
        <v>29</v>
      </c>
      <c r="F228" s="19" t="s">
        <v>440</v>
      </c>
      <c r="I228" s="1" t="str">
        <f>IF(ISBLANK(E228),"ručně doplnit",IF(E228="-","není ve výkazech",IF(C228="Rozvaha",VLOOKUP(E228,'řádky R'!$A:$B,2,0),IF(C228="Výsledovka",VLOOKUP(E228,'řádky V'!A:M,2,0)))))</f>
        <v>Převod provozních nákladů</v>
      </c>
      <c r="N228" s="1" t="str">
        <f>IF(ISBLANK(J228),"není alternativa",IF(J228="-","není ve výkazech",VLOOKUP(J228,'řádky R'!$A:$B,2,0)))</f>
        <v>není alternativa</v>
      </c>
      <c r="O228" s="19" t="s">
        <v>306</v>
      </c>
    </row>
    <row r="229" spans="1:15" x14ac:dyDescent="0.2">
      <c r="A229" s="18">
        <v>599</v>
      </c>
      <c r="B229" s="19" t="s">
        <v>226</v>
      </c>
      <c r="C229" s="19" t="s">
        <v>803</v>
      </c>
      <c r="D229" s="19" t="s">
        <v>381</v>
      </c>
      <c r="I229" s="1" t="str">
        <f>IF(ISBLANK(E229),"ručně doplnit",IF(E229="-","není ve výkazech",IF(C229="Rozvaha",VLOOKUP(E229,'řádky R'!$A:$B,2,0),IF(C229="Výsledovka",VLOOKUP(E229,'řádky V'!A:M,2,0)))))</f>
        <v>ručně doplnit</v>
      </c>
      <c r="N229" s="1" t="str">
        <f>IF(ISBLANK(J229),"není alternativa",IF(J229="-","není ve výkazech",VLOOKUP(J229,'řádky R'!$A:$B,2,0)))</f>
        <v>není alternativa</v>
      </c>
      <c r="O229" s="19" t="s">
        <v>306</v>
      </c>
    </row>
    <row r="230" spans="1:15" x14ac:dyDescent="0.2">
      <c r="A230" s="18">
        <v>601</v>
      </c>
      <c r="B230" s="19" t="s">
        <v>227</v>
      </c>
      <c r="C230" s="19" t="s">
        <v>803</v>
      </c>
      <c r="D230" s="19" t="s">
        <v>409</v>
      </c>
      <c r="E230" s="36">
        <v>5</v>
      </c>
      <c r="F230" s="19" t="s">
        <v>286</v>
      </c>
      <c r="G230" s="19" t="s">
        <v>277</v>
      </c>
      <c r="I230" s="1" t="str">
        <f>IF(ISBLANK(E230),"ručně doplnit",IF(E230="-","není ve výkazech",IF(C230="Rozvaha",VLOOKUP(E230,'řádky R'!$A:$B,2,0),IF(C230="Výsledovka",VLOOKUP(E230,'řádky V'!A:M,2,0)))))</f>
        <v>Tržby za prodej vlastních výrobků a služeb</v>
      </c>
      <c r="N230" s="1" t="str">
        <f>IF(ISBLANK(J230),"není alternativa",IF(J230="-","není ve výkazech",VLOOKUP(J230,'řádky R'!$A:$B,2,0)))</f>
        <v>není alternativa</v>
      </c>
      <c r="O230" s="19" t="s">
        <v>306</v>
      </c>
    </row>
    <row r="231" spans="1:15" x14ac:dyDescent="0.2">
      <c r="A231" s="18">
        <v>602</v>
      </c>
      <c r="B231" s="19" t="s">
        <v>228</v>
      </c>
      <c r="C231" s="19" t="s">
        <v>803</v>
      </c>
      <c r="D231" s="19" t="s">
        <v>409</v>
      </c>
      <c r="E231" s="36">
        <v>5</v>
      </c>
      <c r="F231" s="19" t="s">
        <v>286</v>
      </c>
      <c r="G231" s="19" t="s">
        <v>277</v>
      </c>
      <c r="I231" s="1" t="str">
        <f>IF(ISBLANK(E231),"ručně doplnit",IF(E231="-","není ve výkazech",IF(C231="Rozvaha",VLOOKUP(E231,'řádky R'!$A:$B,2,0),IF(C231="Výsledovka",VLOOKUP(E231,'řádky V'!A:M,2,0)))))</f>
        <v>Tržby za prodej vlastních výrobků a služeb</v>
      </c>
      <c r="N231" s="1" t="str">
        <f>IF(ISBLANK(J231),"není alternativa",IF(J231="-","není ve výkazech",VLOOKUP(J231,'řádky R'!$A:$B,2,0)))</f>
        <v>není alternativa</v>
      </c>
      <c r="O231" s="19" t="s">
        <v>306</v>
      </c>
    </row>
    <row r="232" spans="1:15" x14ac:dyDescent="0.2">
      <c r="A232" s="18">
        <v>604</v>
      </c>
      <c r="B232" s="19" t="s">
        <v>229</v>
      </c>
      <c r="C232" s="19" t="s">
        <v>803</v>
      </c>
      <c r="D232" s="19" t="s">
        <v>409</v>
      </c>
      <c r="E232" s="36">
        <v>1</v>
      </c>
      <c r="F232" s="19" t="s">
        <v>276</v>
      </c>
      <c r="I232" s="1" t="str">
        <f>IF(ISBLANK(E232),"ručně doplnit",IF(E232="-","není ve výkazech",IF(C232="Rozvaha",VLOOKUP(E232,'řádky R'!$A:$B,2,0),IF(C232="Výsledovka",VLOOKUP(E232,'řádky V'!A:M,2,0)))))</f>
        <v xml:space="preserve">Tržby za prodej zboží </v>
      </c>
      <c r="N232" s="1" t="str">
        <f>IF(ISBLANK(J232),"není alternativa",IF(J232="-","není ve výkazech",VLOOKUP(J232,'řádky R'!$A:$B,2,0)))</f>
        <v>není alternativa</v>
      </c>
      <c r="O232" s="19" t="s">
        <v>306</v>
      </c>
    </row>
    <row r="233" spans="1:15" x14ac:dyDescent="0.2">
      <c r="A233" s="18">
        <v>611</v>
      </c>
      <c r="B233" s="19" t="s">
        <v>230</v>
      </c>
      <c r="C233" s="19" t="s">
        <v>803</v>
      </c>
      <c r="D233" s="19" t="s">
        <v>409</v>
      </c>
      <c r="E233" s="36">
        <v>6</v>
      </c>
      <c r="F233" s="19" t="s">
        <v>286</v>
      </c>
      <c r="G233" s="19" t="s">
        <v>278</v>
      </c>
      <c r="I233" s="1" t="str">
        <f>IF(ISBLANK(E233),"ručně doplnit",IF(E233="-","není ve výkazech",IF(C233="Rozvaha",VLOOKUP(E233,'řádky R'!$A:$B,2,0),IF(C233="Výsledovka",VLOOKUP(E233,'řádky V'!A:M,2,0)))))</f>
        <v>Změna stavu zásob vlastní činnosti</v>
      </c>
      <c r="N233" s="1" t="str">
        <f>IF(ISBLANK(J233),"není alternativa",IF(J233="-","není ve výkazech",VLOOKUP(J233,'řádky R'!$A:$B,2,0)))</f>
        <v>není alternativa</v>
      </c>
      <c r="O233" s="19" t="s">
        <v>306</v>
      </c>
    </row>
    <row r="234" spans="1:15" x14ac:dyDescent="0.2">
      <c r="A234" s="18">
        <v>612</v>
      </c>
      <c r="B234" s="19" t="s">
        <v>231</v>
      </c>
      <c r="C234" s="19" t="s">
        <v>803</v>
      </c>
      <c r="D234" s="19" t="s">
        <v>409</v>
      </c>
      <c r="E234" s="36">
        <v>6</v>
      </c>
      <c r="F234" s="19" t="s">
        <v>286</v>
      </c>
      <c r="G234" s="19" t="s">
        <v>278</v>
      </c>
      <c r="I234" s="1" t="str">
        <f>IF(ISBLANK(E234),"ručně doplnit",IF(E234="-","není ve výkazech",IF(C234="Rozvaha",VLOOKUP(E234,'řádky R'!$A:$B,2,0),IF(C234="Výsledovka",VLOOKUP(E234,'řádky V'!A:M,2,0)))))</f>
        <v>Změna stavu zásob vlastní činnosti</v>
      </c>
      <c r="N234" s="1" t="str">
        <f>IF(ISBLANK(J234),"není alternativa",IF(J234="-","není ve výkazech",VLOOKUP(J234,'řádky R'!$A:$B,2,0)))</f>
        <v>není alternativa</v>
      </c>
      <c r="O234" s="19" t="s">
        <v>306</v>
      </c>
    </row>
    <row r="235" spans="1:15" x14ac:dyDescent="0.2">
      <c r="A235" s="18">
        <v>613</v>
      </c>
      <c r="B235" s="19" t="s">
        <v>232</v>
      </c>
      <c r="C235" s="19" t="s">
        <v>803</v>
      </c>
      <c r="D235" s="19" t="s">
        <v>409</v>
      </c>
      <c r="E235" s="36">
        <v>6</v>
      </c>
      <c r="F235" s="19" t="s">
        <v>286</v>
      </c>
      <c r="G235" s="19" t="s">
        <v>278</v>
      </c>
      <c r="I235" s="1" t="str">
        <f>IF(ISBLANK(E235),"ručně doplnit",IF(E235="-","není ve výkazech",IF(C235="Rozvaha",VLOOKUP(E235,'řádky R'!$A:$B,2,0),IF(C235="Výsledovka",VLOOKUP(E235,'řádky V'!A:M,2,0)))))</f>
        <v>Změna stavu zásob vlastní činnosti</v>
      </c>
      <c r="N235" s="1" t="str">
        <f>IF(ISBLANK(J235),"není alternativa",IF(J235="-","není ve výkazech",VLOOKUP(J235,'řádky R'!$A:$B,2,0)))</f>
        <v>není alternativa</v>
      </c>
      <c r="O235" s="19" t="s">
        <v>306</v>
      </c>
    </row>
    <row r="236" spans="1:15" x14ac:dyDescent="0.2">
      <c r="A236" s="18">
        <v>614</v>
      </c>
      <c r="B236" s="19" t="s">
        <v>233</v>
      </c>
      <c r="C236" s="19" t="s">
        <v>803</v>
      </c>
      <c r="D236" s="19" t="s">
        <v>409</v>
      </c>
      <c r="E236" s="36">
        <v>6</v>
      </c>
      <c r="F236" s="19" t="s">
        <v>286</v>
      </c>
      <c r="G236" s="19" t="s">
        <v>278</v>
      </c>
      <c r="I236" s="1" t="str">
        <f>IF(ISBLANK(E236),"ručně doplnit",IF(E236="-","není ve výkazech",IF(C236="Rozvaha",VLOOKUP(E236,'řádky R'!$A:$B,2,0),IF(C236="Výsledovka",VLOOKUP(E236,'řádky V'!A:M,2,0)))))</f>
        <v>Změna stavu zásob vlastní činnosti</v>
      </c>
      <c r="N236" s="1" t="str">
        <f>IF(ISBLANK(J236),"není alternativa",IF(J236="-","není ve výkazech",VLOOKUP(J236,'řádky R'!$A:$B,2,0)))</f>
        <v>není alternativa</v>
      </c>
      <c r="O236" s="19" t="s">
        <v>306</v>
      </c>
    </row>
    <row r="237" spans="1:15" x14ac:dyDescent="0.2">
      <c r="A237" s="18">
        <v>621</v>
      </c>
      <c r="B237" s="19" t="s">
        <v>235</v>
      </c>
      <c r="C237" s="19" t="s">
        <v>803</v>
      </c>
      <c r="D237" s="19" t="s">
        <v>409</v>
      </c>
      <c r="E237" s="36">
        <v>7</v>
      </c>
      <c r="F237" s="19" t="s">
        <v>286</v>
      </c>
      <c r="G237" s="19" t="s">
        <v>279</v>
      </c>
      <c r="I237" s="1" t="str">
        <f>IF(ISBLANK(E237),"ručně doplnit",IF(E237="-","není ve výkazech",IF(C237="Rozvaha",VLOOKUP(E237,'řádky R'!$A:$B,2,0),IF(C237="Výsledovka",VLOOKUP(E237,'řádky V'!A:M,2,0)))))</f>
        <v>Aktivace</v>
      </c>
      <c r="N237" s="1" t="str">
        <f>IF(ISBLANK(J237),"není alternativa",IF(J237="-","není ve výkazech",VLOOKUP(J237,'řádky R'!$A:$B,2,0)))</f>
        <v>není alternativa</v>
      </c>
      <c r="O237" s="19" t="s">
        <v>306</v>
      </c>
    </row>
    <row r="238" spans="1:15" x14ac:dyDescent="0.2">
      <c r="A238" s="18">
        <v>622</v>
      </c>
      <c r="B238" s="19" t="s">
        <v>236</v>
      </c>
      <c r="C238" s="19" t="s">
        <v>803</v>
      </c>
      <c r="D238" s="19" t="s">
        <v>409</v>
      </c>
      <c r="E238" s="36">
        <v>7</v>
      </c>
      <c r="F238" s="19" t="s">
        <v>286</v>
      </c>
      <c r="G238" s="19" t="s">
        <v>279</v>
      </c>
      <c r="I238" s="1" t="str">
        <f>IF(ISBLANK(E238),"ručně doplnit",IF(E238="-","není ve výkazech",IF(C238="Rozvaha",VLOOKUP(E238,'řádky R'!$A:$B,2,0),IF(C238="Výsledovka",VLOOKUP(E238,'řádky V'!A:M,2,0)))))</f>
        <v>Aktivace</v>
      </c>
      <c r="N238" s="1" t="str">
        <f>IF(ISBLANK(J238),"není alternativa",IF(J238="-","není ve výkazech",VLOOKUP(J238,'řádky R'!$A:$B,2,0)))</f>
        <v>není alternativa</v>
      </c>
      <c r="O238" s="19" t="s">
        <v>306</v>
      </c>
    </row>
    <row r="239" spans="1:15" x14ac:dyDescent="0.2">
      <c r="A239" s="18">
        <v>623</v>
      </c>
      <c r="B239" s="19" t="s">
        <v>237</v>
      </c>
      <c r="C239" s="19" t="s">
        <v>803</v>
      </c>
      <c r="D239" s="19" t="s">
        <v>409</v>
      </c>
      <c r="E239" s="36">
        <v>7</v>
      </c>
      <c r="F239" s="19" t="s">
        <v>286</v>
      </c>
      <c r="G239" s="19" t="s">
        <v>279</v>
      </c>
      <c r="I239" s="1" t="str">
        <f>IF(ISBLANK(E239),"ručně doplnit",IF(E239="-","není ve výkazech",IF(C239="Rozvaha",VLOOKUP(E239,'řádky R'!$A:$B,2,0),IF(C239="Výsledovka",VLOOKUP(E239,'řádky V'!A:M,2,0)))))</f>
        <v>Aktivace</v>
      </c>
      <c r="N239" s="1" t="str">
        <f>IF(ISBLANK(J239),"není alternativa",IF(J239="-","není ve výkazech",VLOOKUP(J239,'řádky R'!$A:$B,2,0)))</f>
        <v>není alternativa</v>
      </c>
      <c r="O239" s="19" t="s">
        <v>306</v>
      </c>
    </row>
    <row r="240" spans="1:15" x14ac:dyDescent="0.2">
      <c r="A240" s="18">
        <v>624</v>
      </c>
      <c r="B240" s="19" t="s">
        <v>238</v>
      </c>
      <c r="C240" s="19" t="s">
        <v>803</v>
      </c>
      <c r="D240" s="19" t="s">
        <v>409</v>
      </c>
      <c r="E240" s="36">
        <v>7</v>
      </c>
      <c r="F240" s="19" t="s">
        <v>286</v>
      </c>
      <c r="G240" s="19" t="s">
        <v>279</v>
      </c>
      <c r="I240" s="1" t="str">
        <f>IF(ISBLANK(E240),"ručně doplnit",IF(E240="-","není ve výkazech",IF(C240="Rozvaha",VLOOKUP(E240,'řádky R'!$A:$B,2,0),IF(C240="Výsledovka",VLOOKUP(E240,'řádky V'!A:M,2,0)))))</f>
        <v>Aktivace</v>
      </c>
      <c r="N240" s="1" t="str">
        <f>IF(ISBLANK(J240),"není alternativa",IF(J240="-","není ve výkazech",VLOOKUP(J240,'řádky R'!$A:$B,2,0)))</f>
        <v>není alternativa</v>
      </c>
      <c r="O240" s="19" t="s">
        <v>306</v>
      </c>
    </row>
    <row r="241" spans="1:15" x14ac:dyDescent="0.2">
      <c r="A241" s="18">
        <v>641</v>
      </c>
      <c r="B241" s="19" t="s">
        <v>239</v>
      </c>
      <c r="C241" s="19" t="s">
        <v>803</v>
      </c>
      <c r="D241" s="19" t="s">
        <v>409</v>
      </c>
      <c r="E241" s="36">
        <v>20</v>
      </c>
      <c r="F241" s="19" t="s">
        <v>291</v>
      </c>
      <c r="G241" s="19" t="s">
        <v>277</v>
      </c>
      <c r="I241" s="1" t="str">
        <f>IF(ISBLANK(E241),"ručně doplnit",IF(E241="-","není ve výkazech",IF(C241="Rozvaha",VLOOKUP(E241,'řádky R'!$A:$B,2,0),IF(C241="Výsledovka",VLOOKUP(E241,'řádky V'!A:M,2,0)))))</f>
        <v xml:space="preserve">Tržby z prodeje dlouhodobého majetku </v>
      </c>
      <c r="N241" s="1" t="str">
        <f>IF(ISBLANK(J241),"není alternativa",IF(J241="-","není ve výkazech",VLOOKUP(J241,'řádky R'!$A:$B,2,0)))</f>
        <v>není alternativa</v>
      </c>
      <c r="O241" s="19" t="s">
        <v>306</v>
      </c>
    </row>
    <row r="242" spans="1:15" x14ac:dyDescent="0.2">
      <c r="A242" s="18">
        <v>642</v>
      </c>
      <c r="B242" s="19" t="s">
        <v>240</v>
      </c>
      <c r="C242" s="19" t="s">
        <v>803</v>
      </c>
      <c r="D242" s="19" t="s">
        <v>409</v>
      </c>
      <c r="E242" s="36">
        <v>21</v>
      </c>
      <c r="F242" s="19" t="s">
        <v>291</v>
      </c>
      <c r="G242" s="19" t="s">
        <v>278</v>
      </c>
      <c r="I242" s="1" t="str">
        <f>IF(ISBLANK(E242),"ručně doplnit",IF(E242="-","není ve výkazech",IF(C242="Rozvaha",VLOOKUP(E242,'řádky R'!$A:$B,2,0),IF(C242="Výsledovka",VLOOKUP(E242,'řádky V'!A:M,2,0)))))</f>
        <v>Tržby z prodeje materiálu</v>
      </c>
      <c r="N242" s="1" t="str">
        <f>IF(ISBLANK(J242),"není alternativa",IF(J242="-","není ve výkazech",VLOOKUP(J242,'řádky R'!$A:$B,2,0)))</f>
        <v>není alternativa</v>
      </c>
      <c r="O242" s="19" t="s">
        <v>306</v>
      </c>
    </row>
    <row r="243" spans="1:15" x14ac:dyDescent="0.2">
      <c r="A243" s="18">
        <v>644</v>
      </c>
      <c r="B243" s="19" t="s">
        <v>190</v>
      </c>
      <c r="C243" s="19" t="s">
        <v>803</v>
      </c>
      <c r="D243" s="19" t="s">
        <v>409</v>
      </c>
      <c r="E243" s="36">
        <v>26</v>
      </c>
      <c r="F243" s="19" t="s">
        <v>322</v>
      </c>
      <c r="I243" s="1" t="str">
        <f>IF(ISBLANK(E243),"ručně doplnit",IF(E243="-","není ve výkazech",IF(C243="Rozvaha",VLOOKUP(E243,'řádky R'!$A:$B,2,0),IF(C243="Výsledovka",VLOOKUP(E243,'řádky V'!A:M,2,0)))))</f>
        <v>Ostatní provozní výnosy</v>
      </c>
      <c r="N243" s="1" t="str">
        <f>IF(ISBLANK(J243),"není alternativa",IF(J243="-","není ve výkazech",VLOOKUP(J243,'řádky R'!$A:$B,2,0)))</f>
        <v>není alternativa</v>
      </c>
      <c r="O243" s="19" t="s">
        <v>306</v>
      </c>
    </row>
    <row r="244" spans="1:15" x14ac:dyDescent="0.2">
      <c r="A244" s="18">
        <v>646</v>
      </c>
      <c r="B244" s="19" t="s">
        <v>241</v>
      </c>
      <c r="C244" s="19" t="s">
        <v>803</v>
      </c>
      <c r="D244" s="19" t="s">
        <v>409</v>
      </c>
      <c r="E244" s="36">
        <v>26</v>
      </c>
      <c r="F244" s="19" t="s">
        <v>322</v>
      </c>
      <c r="I244" s="1" t="str">
        <f>IF(ISBLANK(E244),"ručně doplnit",IF(E244="-","není ve výkazech",IF(C244="Rozvaha",VLOOKUP(E244,'řádky R'!$A:$B,2,0),IF(C244="Výsledovka",VLOOKUP(E244,'řádky V'!A:M,2,0)))))</f>
        <v>Ostatní provozní výnosy</v>
      </c>
      <c r="N244" s="1" t="str">
        <f>IF(ISBLANK(J244),"není alternativa",IF(J244="-","není ve výkazech",VLOOKUP(J244,'řádky R'!$A:$B,2,0)))</f>
        <v>není alternativa</v>
      </c>
      <c r="O244" s="19" t="s">
        <v>306</v>
      </c>
    </row>
    <row r="245" spans="1:15" x14ac:dyDescent="0.2">
      <c r="A245" s="18">
        <v>648</v>
      </c>
      <c r="B245" s="19" t="s">
        <v>242</v>
      </c>
      <c r="C245" s="19" t="s">
        <v>803</v>
      </c>
      <c r="D245" s="19" t="s">
        <v>409</v>
      </c>
      <c r="E245" s="36">
        <v>26</v>
      </c>
      <c r="F245" s="19" t="s">
        <v>322</v>
      </c>
      <c r="I245" s="1" t="str">
        <f>IF(ISBLANK(E245),"ručně doplnit",IF(E245="-","není ve výkazech",IF(C245="Rozvaha",VLOOKUP(E245,'řádky R'!$A:$B,2,0),IF(C245="Výsledovka",VLOOKUP(E245,'řádky V'!A:M,2,0)))))</f>
        <v>Ostatní provozní výnosy</v>
      </c>
      <c r="N245" s="1" t="str">
        <f>IF(ISBLANK(J245),"není alternativa",IF(J245="-","není ve výkazech",VLOOKUP(J245,'řádky R'!$A:$B,2,0)))</f>
        <v>není alternativa</v>
      </c>
      <c r="O245" s="19" t="s">
        <v>306</v>
      </c>
    </row>
    <row r="246" spans="1:15" x14ac:dyDescent="0.2">
      <c r="A246" s="18">
        <v>661</v>
      </c>
      <c r="B246" s="19" t="s">
        <v>243</v>
      </c>
      <c r="C246" s="19" t="s">
        <v>803</v>
      </c>
      <c r="D246" s="19" t="s">
        <v>409</v>
      </c>
      <c r="E246" s="36">
        <v>31</v>
      </c>
      <c r="F246" s="19" t="s">
        <v>427</v>
      </c>
      <c r="I246" s="1" t="str">
        <f>IF(ISBLANK(E246),"ručně doplnit",IF(E246="-","není ve výkazech",IF(C246="Rozvaha",VLOOKUP(E246,'řádky R'!$A:$B,2,0),IF(C246="Výsledovka",VLOOKUP(E246,'řádky V'!A:M,2,0)))))</f>
        <v>Tržby z prodeje cenných papírů a podílů</v>
      </c>
      <c r="N246" s="1" t="str">
        <f>IF(ISBLANK(J246),"není alternativa",IF(J246="-","není ve výkazech",VLOOKUP(J246,'řádky R'!$A:$B,2,0)))</f>
        <v>není alternativa</v>
      </c>
      <c r="O246" s="19" t="s">
        <v>306</v>
      </c>
    </row>
    <row r="247" spans="1:15" x14ac:dyDescent="0.2">
      <c r="A247" s="18">
        <v>662</v>
      </c>
      <c r="B247" s="19" t="s">
        <v>203</v>
      </c>
      <c r="C247" s="19" t="s">
        <v>803</v>
      </c>
      <c r="D247" s="19" t="s">
        <v>409</v>
      </c>
      <c r="E247" s="36">
        <v>42</v>
      </c>
      <c r="F247" s="19" t="s">
        <v>435</v>
      </c>
      <c r="I247" s="1" t="str">
        <f>IF(ISBLANK(E247),"ručně doplnit",IF(E247="-","není ve výkazech",IF(C247="Rozvaha",VLOOKUP(E247,'řádky R'!$A:$B,2,0),IF(C247="Výsledovka",VLOOKUP(E247,'řádky V'!A:M,2,0)))))</f>
        <v>Výnosové úroky</v>
      </c>
      <c r="N247" s="1" t="str">
        <f>IF(ISBLANK(J247),"není alternativa",IF(J247="-","není ve výkazech",VLOOKUP(J247,'řádky R'!$A:$B,2,0)))</f>
        <v>není alternativa</v>
      </c>
      <c r="O247" s="19" t="s">
        <v>306</v>
      </c>
    </row>
    <row r="248" spans="1:15" x14ac:dyDescent="0.2">
      <c r="A248" s="18">
        <v>663</v>
      </c>
      <c r="B248" s="19" t="s">
        <v>244</v>
      </c>
      <c r="C248" s="19" t="s">
        <v>803</v>
      </c>
      <c r="D248" s="19" t="s">
        <v>409</v>
      </c>
      <c r="E248" s="36">
        <v>44</v>
      </c>
      <c r="F248" s="19" t="s">
        <v>437</v>
      </c>
      <c r="I248" s="1" t="str">
        <f>IF(ISBLANK(E248),"ručně doplnit",IF(E248="-","není ve výkazech",IF(C248="Rozvaha",VLOOKUP(E248,'řádky R'!$A:$B,2,0),IF(C248="Výsledovka",VLOOKUP(E248,'řádky V'!A:M,2,0)))))</f>
        <v>Ostatní finanční výnosy</v>
      </c>
      <c r="N248" s="1" t="str">
        <f>IF(ISBLANK(J248),"není alternativa",IF(J248="-","není ve výkazech",VLOOKUP(J248,'řádky R'!$A:$B,2,0)))</f>
        <v>není alternativa</v>
      </c>
      <c r="O248" s="19" t="s">
        <v>306</v>
      </c>
    </row>
    <row r="249" spans="1:15" x14ac:dyDescent="0.2">
      <c r="A249" s="18">
        <v>664</v>
      </c>
      <c r="B249" s="19" t="s">
        <v>245</v>
      </c>
      <c r="C249" s="19" t="s">
        <v>803</v>
      </c>
      <c r="D249" s="19" t="s">
        <v>409</v>
      </c>
      <c r="E249" s="36">
        <v>39</v>
      </c>
      <c r="F249" s="19" t="s">
        <v>432</v>
      </c>
      <c r="I249" s="1" t="str">
        <f>IF(ISBLANK(E249),"ručně doplnit",IF(E249="-","není ve výkazech",IF(C249="Rozvaha",VLOOKUP(E249,'řádky R'!$A:$B,2,0),IF(C249="Výsledovka",VLOOKUP(E249,'řádky V'!A:M,2,0)))))</f>
        <v>Výnosy z přecenění cenných papírů a derivátů</v>
      </c>
      <c r="N249" s="1" t="str">
        <f>IF(ISBLANK(J249),"není alternativa",IF(J249="-","není ve výkazech",VLOOKUP(J249,'řádky R'!$A:$B,2,0)))</f>
        <v>není alternativa</v>
      </c>
      <c r="O249" s="19" t="s">
        <v>306</v>
      </c>
    </row>
    <row r="250" spans="1:15" x14ac:dyDescent="0.2">
      <c r="A250" s="18">
        <v>665</v>
      </c>
      <c r="B250" s="19" t="s">
        <v>246</v>
      </c>
      <c r="C250" s="19" t="s">
        <v>803</v>
      </c>
      <c r="D250" s="19" t="s">
        <v>409</v>
      </c>
      <c r="I250" s="1" t="str">
        <f>IF(ISBLANK(E250),"ručně doplnit",IF(E250="-","není ve výkazech",IF(C250="Rozvaha",VLOOKUP(E250,'řádky R'!$A:$B,2,0),IF(C250="Výsledovka",VLOOKUP(E250,'řádky V'!A:M,2,0)))))</f>
        <v>ručně doplnit</v>
      </c>
      <c r="N250" s="1" t="str">
        <f>IF(ISBLANK(J250),"není alternativa",IF(J250="-","není ve výkazech",VLOOKUP(J250,'řádky R'!$A:$B,2,0)))</f>
        <v>není alternativa</v>
      </c>
      <c r="O250" s="19" t="s">
        <v>306</v>
      </c>
    </row>
    <row r="251" spans="1:15" x14ac:dyDescent="0.2">
      <c r="A251" s="18">
        <v>666</v>
      </c>
      <c r="B251" s="19" t="s">
        <v>247</v>
      </c>
      <c r="C251" s="19" t="s">
        <v>803</v>
      </c>
      <c r="D251" s="19" t="s">
        <v>409</v>
      </c>
      <c r="E251" s="36">
        <v>37</v>
      </c>
      <c r="F251" s="19" t="s">
        <v>430</v>
      </c>
      <c r="I251" s="1" t="str">
        <f>IF(ISBLANK(E251),"ručně doplnit",IF(E251="-","není ve výkazech",IF(C251="Rozvaha",VLOOKUP(E251,'řádky R'!$A:$B,2,0),IF(C251="Výsledovka",VLOOKUP(E251,'řádky V'!A:M,2,0)))))</f>
        <v>Výnosy z krátkodobého finančního majetku</v>
      </c>
      <c r="N251" s="1" t="str">
        <f>IF(ISBLANK(J251),"není alternativa",IF(J251="-","není ve výkazech",VLOOKUP(J251,'řádky R'!$A:$B,2,0)))</f>
        <v>není alternativa</v>
      </c>
      <c r="O251" s="19" t="s">
        <v>306</v>
      </c>
    </row>
    <row r="252" spans="1:15" x14ac:dyDescent="0.2">
      <c r="A252" s="18">
        <v>667</v>
      </c>
      <c r="B252" s="19" t="s">
        <v>248</v>
      </c>
      <c r="C252" s="19" t="s">
        <v>803</v>
      </c>
      <c r="D252" s="19" t="s">
        <v>409</v>
      </c>
      <c r="E252" s="36">
        <v>39</v>
      </c>
      <c r="F252" s="19" t="s">
        <v>432</v>
      </c>
      <c r="I252" s="1" t="str">
        <f>IF(ISBLANK(E252),"ručně doplnit",IF(E252="-","není ve výkazech",IF(C252="Rozvaha",VLOOKUP(E252,'řádky R'!$A:$B,2,0),IF(C252="Výsledovka",VLOOKUP(E252,'řádky V'!A:M,2,0)))))</f>
        <v>Výnosy z přecenění cenných papírů a derivátů</v>
      </c>
      <c r="N252" s="1" t="str">
        <f>IF(ISBLANK(J252),"není alternativa",IF(J252="-","není ve výkazech",VLOOKUP(J252,'řádky R'!$A:$B,2,0)))</f>
        <v>není alternativa</v>
      </c>
      <c r="O252" s="19" t="s">
        <v>306</v>
      </c>
    </row>
    <row r="253" spans="1:15" x14ac:dyDescent="0.2">
      <c r="A253" s="18">
        <v>668</v>
      </c>
      <c r="B253" s="19" t="s">
        <v>249</v>
      </c>
      <c r="C253" s="19" t="s">
        <v>803</v>
      </c>
      <c r="D253" s="19" t="s">
        <v>409</v>
      </c>
      <c r="E253" s="36">
        <v>44</v>
      </c>
      <c r="F253" s="19" t="s">
        <v>437</v>
      </c>
      <c r="I253" s="1" t="str">
        <f>IF(ISBLANK(E253),"ručně doplnit",IF(E253="-","není ve výkazech",IF(C253="Rozvaha",VLOOKUP(E253,'řádky R'!$A:$B,2,0),IF(C253="Výsledovka",VLOOKUP(E253,'řádky V'!A:M,2,0)))))</f>
        <v>Ostatní finanční výnosy</v>
      </c>
      <c r="N253" s="1" t="str">
        <f>IF(ISBLANK(J253),"není alternativa",IF(J253="-","není ve výkazech",VLOOKUP(J253,'řádky R'!$A:$B,2,0)))</f>
        <v>není alternativa</v>
      </c>
      <c r="O253" s="19" t="s">
        <v>306</v>
      </c>
    </row>
    <row r="254" spans="1:15" x14ac:dyDescent="0.2">
      <c r="A254" s="18">
        <v>681</v>
      </c>
      <c r="B254" s="19" t="s">
        <v>251</v>
      </c>
      <c r="C254" s="19" t="s">
        <v>803</v>
      </c>
      <c r="D254" s="19" t="s">
        <v>409</v>
      </c>
      <c r="I254" s="1" t="str">
        <f>IF(ISBLANK(E254),"ručně doplnit",IF(E254="-","není ve výkazech",IF(C254="Rozvaha",VLOOKUP(E254,'řádky R'!$A:$B,2,0),IF(C254="Výsledovka",VLOOKUP(E254,'řádky V'!A:M,2,0)))))</f>
        <v>ručně doplnit</v>
      </c>
      <c r="N254" s="1" t="str">
        <f>IF(ISBLANK(J254),"není alternativa",IF(J254="-","není ve výkazech",VLOOKUP(J254,'řádky R'!$A:$B,2,0)))</f>
        <v>není alternativa</v>
      </c>
      <c r="O254" s="19" t="s">
        <v>306</v>
      </c>
    </row>
    <row r="255" spans="1:15" x14ac:dyDescent="0.2">
      <c r="A255" s="18">
        <v>688</v>
      </c>
      <c r="B255" s="19" t="s">
        <v>252</v>
      </c>
      <c r="C255" s="19" t="s">
        <v>803</v>
      </c>
      <c r="D255" s="19" t="s">
        <v>409</v>
      </c>
      <c r="E255" s="36">
        <v>53</v>
      </c>
      <c r="F255" s="19" t="s">
        <v>445</v>
      </c>
      <c r="I255" s="1" t="str">
        <f>IF(ISBLANK(E255),"ručně doplnit",IF(E255="-","není ve výkazech",IF(C255="Rozvaha",VLOOKUP(E255,'řádky R'!$A:$B,2,0),IF(C255="Výsledovka",VLOOKUP(E255,'řádky V'!A:M,2,0)))))</f>
        <v>Mimořádné výnosy</v>
      </c>
      <c r="N255" s="1" t="str">
        <f>IF(ISBLANK(J255),"není alternativa",IF(J255="-","není ve výkazech",VLOOKUP(J255,'řádky R'!$A:$B,2,0)))</f>
        <v>není alternativa</v>
      </c>
      <c r="O255" s="19" t="s">
        <v>306</v>
      </c>
    </row>
    <row r="256" spans="1:15" x14ac:dyDescent="0.2">
      <c r="A256" s="18">
        <v>697</v>
      </c>
      <c r="B256" s="19" t="s">
        <v>253</v>
      </c>
      <c r="C256" s="19" t="s">
        <v>803</v>
      </c>
      <c r="D256" s="19" t="s">
        <v>409</v>
      </c>
      <c r="E256" s="36">
        <v>28</v>
      </c>
      <c r="F256" s="19" t="s">
        <v>345</v>
      </c>
      <c r="I256" s="1" t="str">
        <f>IF(ISBLANK(E256),"ručně doplnit",IF(E256="-","není ve výkazech",IF(C256="Rozvaha",VLOOKUP(E256,'řádky R'!$A:$B,2,0),IF(C256="Výsledovka",VLOOKUP(E256,'řádky V'!A:M,2,0)))))</f>
        <v>Převod provozních výnosů</v>
      </c>
      <c r="N256" s="1" t="str">
        <f>IF(ISBLANK(J256),"není alternativa",IF(J256="-","není ve výkazech",VLOOKUP(J256,'řádky R'!$A:$B,2,0)))</f>
        <v>není alternativa</v>
      </c>
      <c r="O256" s="19" t="s">
        <v>306</v>
      </c>
    </row>
    <row r="257" spans="1:15" x14ac:dyDescent="0.2">
      <c r="A257" s="18">
        <v>698</v>
      </c>
      <c r="B257" s="19" t="s">
        <v>254</v>
      </c>
      <c r="C257" s="19" t="s">
        <v>803</v>
      </c>
      <c r="D257" s="19" t="s">
        <v>409</v>
      </c>
      <c r="E257" s="36">
        <v>46</v>
      </c>
      <c r="F257" s="19" t="s">
        <v>439</v>
      </c>
      <c r="I257" s="1" t="str">
        <f>IF(ISBLANK(E257),"ručně doplnit",IF(E257="-","není ve výkazech",IF(C257="Rozvaha",VLOOKUP(E257,'řádky R'!$A:$B,2,0),IF(C257="Výsledovka",VLOOKUP(E257,'řádky V'!A:M,2,0)))))</f>
        <v>Převod finančních výnosů</v>
      </c>
      <c r="N257" s="1" t="str">
        <f>IF(ISBLANK(J257),"není alternativa",IF(J257="-","není ve výkazech",VLOOKUP(J257,'řádky R'!$A:$B,2,0)))</f>
        <v>není alternativa</v>
      </c>
      <c r="O257" s="19" t="s">
        <v>306</v>
      </c>
    </row>
    <row r="258" spans="1:15" x14ac:dyDescent="0.2">
      <c r="A258" s="18">
        <v>701</v>
      </c>
      <c r="B258" s="19" t="s">
        <v>255</v>
      </c>
      <c r="D258" s="19" t="s">
        <v>410</v>
      </c>
      <c r="I258" s="1" t="str">
        <f>IF(ISBLANK(E258),"ručně doplnit",IF(E258="-","není ve výkazech",IF(C258="Rozvaha",VLOOKUP(E258,'řádky R'!$A:$B,2,0),IF(C258="Výsledovka",VLOOKUP(E258,'řádky V'!A:M,2,0)))))</f>
        <v>ručně doplnit</v>
      </c>
      <c r="N258" s="1" t="str">
        <f>IF(ISBLANK(J258),"není alternativa",IF(J258="-","není ve výkazech",VLOOKUP(J258,'řádky R'!$A:$B,2,0)))</f>
        <v>není alternativa</v>
      </c>
      <c r="O258" s="19" t="s">
        <v>306</v>
      </c>
    </row>
    <row r="259" spans="1:15" x14ac:dyDescent="0.2">
      <c r="A259" s="18">
        <v>702</v>
      </c>
      <c r="B259" s="19" t="s">
        <v>256</v>
      </c>
      <c r="D259" s="19" t="s">
        <v>410</v>
      </c>
      <c r="I259" s="1" t="str">
        <f>IF(ISBLANK(E259),"ručně doplnit",IF(E259="-","není ve výkazech",IF(C259="Rozvaha",VLOOKUP(E259,'řádky R'!$A:$B,2,0),IF(C259="Výsledovka",VLOOKUP(E259,'řádky V'!A:M,2,0)))))</f>
        <v>ručně doplnit</v>
      </c>
      <c r="N259" s="1" t="str">
        <f>IF(ISBLANK(J259),"není alternativa",IF(J259="-","není ve výkazech",VLOOKUP(J259,'řádky R'!$A:$B,2,0)))</f>
        <v>není alternativa</v>
      </c>
      <c r="O259" s="19" t="s">
        <v>306</v>
      </c>
    </row>
    <row r="260" spans="1:15" x14ac:dyDescent="0.2">
      <c r="A260" s="18">
        <v>710</v>
      </c>
      <c r="B260" s="19" t="s">
        <v>257</v>
      </c>
      <c r="D260" s="19" t="s">
        <v>410</v>
      </c>
      <c r="I260" s="1" t="str">
        <f>IF(ISBLANK(E260),"ručně doplnit",IF(E260="-","není ve výkazech",IF(C260="Rozvaha",VLOOKUP(E260,'řádky R'!$A:$B,2,0),IF(C260="Výsledovka",VLOOKUP(E260,'řádky V'!A:M,2,0)))))</f>
        <v>ručně doplnit</v>
      </c>
      <c r="N260" s="1" t="str">
        <f>IF(ISBLANK(J260),"není alternativa",IF(J260="-","není ve výkazech",VLOOKUP(J260,'řádky R'!$A:$B,2,0)))</f>
        <v>není alternativa</v>
      </c>
      <c r="O260" s="19" t="s">
        <v>306</v>
      </c>
    </row>
  </sheetData>
  <autoFilter ref="A1:O260"/>
  <phoneticPr fontId="0" type="noConversion"/>
  <conditionalFormatting sqref="E180 E183:E186 E190:E192 E198:E201 E205:E1048569 E1:E102 E154:E173 E104:E152">
    <cfRule type="expression" dxfId="63" priority="57">
      <formula>C2="R"</formula>
    </cfRule>
    <cfRule type="expression" dxfId="62" priority="58">
      <formula>C2="V"</formula>
    </cfRule>
  </conditionalFormatting>
  <conditionalFormatting sqref="E174">
    <cfRule type="expression" dxfId="61" priority="55">
      <formula>C175="R"</formula>
    </cfRule>
    <cfRule type="expression" dxfId="60" priority="56">
      <formula>C175="V"</formula>
    </cfRule>
  </conditionalFormatting>
  <conditionalFormatting sqref="E175">
    <cfRule type="expression" dxfId="59" priority="53">
      <formula>C176="R"</formula>
    </cfRule>
    <cfRule type="expression" dxfId="58" priority="54">
      <formula>C176="V"</formula>
    </cfRule>
  </conditionalFormatting>
  <conditionalFormatting sqref="E176">
    <cfRule type="expression" dxfId="57" priority="51">
      <formula>C177="R"</formula>
    </cfRule>
    <cfRule type="expression" dxfId="56" priority="52">
      <formula>C177="V"</formula>
    </cfRule>
  </conditionalFormatting>
  <conditionalFormatting sqref="E178">
    <cfRule type="expression" dxfId="55" priority="47">
      <formula>C179="R"</formula>
    </cfRule>
    <cfRule type="expression" dxfId="54" priority="48">
      <formula>C179="V"</formula>
    </cfRule>
  </conditionalFormatting>
  <conditionalFormatting sqref="E179">
    <cfRule type="expression" dxfId="53" priority="45">
      <formula>C180="R"</formula>
    </cfRule>
    <cfRule type="expression" dxfId="52" priority="46">
      <formula>C180="V"</formula>
    </cfRule>
  </conditionalFormatting>
  <conditionalFormatting sqref="E181">
    <cfRule type="expression" dxfId="51" priority="43">
      <formula>C182="R"</formula>
    </cfRule>
    <cfRule type="expression" dxfId="50" priority="44">
      <formula>C182="V"</formula>
    </cfRule>
  </conditionalFormatting>
  <conditionalFormatting sqref="E182">
    <cfRule type="expression" dxfId="49" priority="41">
      <formula>C183="R"</formula>
    </cfRule>
    <cfRule type="expression" dxfId="48" priority="42">
      <formula>C183="V"</formula>
    </cfRule>
  </conditionalFormatting>
  <conditionalFormatting sqref="E178 E181">
    <cfRule type="expression" dxfId="47" priority="39">
      <formula>C179="R"</formula>
    </cfRule>
    <cfRule type="expression" dxfId="46" priority="40">
      <formula>C179="V"</formula>
    </cfRule>
  </conditionalFormatting>
  <conditionalFormatting sqref="E179">
    <cfRule type="expression" dxfId="45" priority="37">
      <formula>C180="R"</formula>
    </cfRule>
    <cfRule type="expression" dxfId="44" priority="38">
      <formula>C180="V"</formula>
    </cfRule>
  </conditionalFormatting>
  <conditionalFormatting sqref="E180">
    <cfRule type="expression" dxfId="43" priority="35">
      <formula>C181="R"</formula>
    </cfRule>
    <cfRule type="expression" dxfId="42" priority="36">
      <formula>C181="V"</formula>
    </cfRule>
  </conditionalFormatting>
  <conditionalFormatting sqref="E182">
    <cfRule type="expression" dxfId="41" priority="33">
      <formula>C183="R"</formula>
    </cfRule>
    <cfRule type="expression" dxfId="40" priority="34">
      <formula>C183="V"</formula>
    </cfRule>
  </conditionalFormatting>
  <conditionalFormatting sqref="E183">
    <cfRule type="expression" dxfId="39" priority="31">
      <formula>C184="R"</formula>
    </cfRule>
    <cfRule type="expression" dxfId="38" priority="32">
      <formula>C184="V"</formula>
    </cfRule>
  </conditionalFormatting>
  <conditionalFormatting sqref="E177">
    <cfRule type="expression" dxfId="37" priority="59">
      <formula>#REF!="R"</formula>
    </cfRule>
    <cfRule type="expression" dxfId="36" priority="60">
      <formula>#REF!="V"</formula>
    </cfRule>
  </conditionalFormatting>
  <conditionalFormatting sqref="E187">
    <cfRule type="expression" dxfId="35" priority="29">
      <formula>C188="R"</formula>
    </cfRule>
    <cfRule type="expression" dxfId="34" priority="30">
      <formula>C188="V"</formula>
    </cfRule>
  </conditionalFormatting>
  <conditionalFormatting sqref="E188">
    <cfRule type="expression" dxfId="33" priority="27">
      <formula>C189="R"</formula>
    </cfRule>
    <cfRule type="expression" dxfId="32" priority="28">
      <formula>C189="V"</formula>
    </cfRule>
  </conditionalFormatting>
  <conditionalFormatting sqref="E1048570:E1048576">
    <cfRule type="expression" dxfId="31" priority="61">
      <formula>C1="R"</formula>
    </cfRule>
    <cfRule type="expression" dxfId="30" priority="62">
      <formula>C1="V"</formula>
    </cfRule>
  </conditionalFormatting>
  <conditionalFormatting sqref="E189 E204">
    <cfRule type="expression" dxfId="29" priority="65">
      <formula>#REF!="R"</formula>
    </cfRule>
    <cfRule type="expression" dxfId="28" priority="66">
      <formula>#REF!="V"</formula>
    </cfRule>
  </conditionalFormatting>
  <conditionalFormatting sqref="E193">
    <cfRule type="expression" dxfId="27" priority="23">
      <formula>C194="R"</formula>
    </cfRule>
    <cfRule type="expression" dxfId="26" priority="24">
      <formula>C194="V"</formula>
    </cfRule>
  </conditionalFormatting>
  <conditionalFormatting sqref="E194">
    <cfRule type="expression" dxfId="25" priority="21">
      <formula>C195="R"</formula>
    </cfRule>
    <cfRule type="expression" dxfId="24" priority="22">
      <formula>C195="V"</formula>
    </cfRule>
  </conditionalFormatting>
  <conditionalFormatting sqref="E195">
    <cfRule type="expression" dxfId="23" priority="19">
      <formula>C196="R"</formula>
    </cfRule>
    <cfRule type="expression" dxfId="22" priority="20">
      <formula>C196="V"</formula>
    </cfRule>
  </conditionalFormatting>
  <conditionalFormatting sqref="E196">
    <cfRule type="expression" dxfId="21" priority="17">
      <formula>C197="R"</formula>
    </cfRule>
    <cfRule type="expression" dxfId="20" priority="18">
      <formula>C197="V"</formula>
    </cfRule>
  </conditionalFormatting>
  <conditionalFormatting sqref="E197">
    <cfRule type="expression" dxfId="19" priority="15">
      <formula>C198="R"</formula>
    </cfRule>
    <cfRule type="expression" dxfId="18" priority="16">
      <formula>C198="V"</formula>
    </cfRule>
  </conditionalFormatting>
  <conditionalFormatting sqref="E203">
    <cfRule type="expression" dxfId="17" priority="13">
      <formula>C204="R"</formula>
    </cfRule>
    <cfRule type="expression" dxfId="16" priority="14">
      <formula>C204="V"</formula>
    </cfRule>
  </conditionalFormatting>
  <conditionalFormatting sqref="E202">
    <cfRule type="expression" dxfId="15" priority="9">
      <formula>C203="R"</formula>
    </cfRule>
    <cfRule type="expression" dxfId="14" priority="10">
      <formula>C203="V"</formula>
    </cfRule>
  </conditionalFormatting>
  <conditionalFormatting sqref="E153">
    <cfRule type="expression" dxfId="13" priority="7">
      <formula>C154="R"</formula>
    </cfRule>
    <cfRule type="expression" dxfId="12" priority="8">
      <formula>C154="V"</formula>
    </cfRule>
  </conditionalFormatting>
  <conditionalFormatting sqref="J153">
    <cfRule type="expression" dxfId="11" priority="5">
      <formula>H154="R"</formula>
    </cfRule>
    <cfRule type="expression" dxfId="10" priority="6">
      <formula>H154="V"</formula>
    </cfRule>
  </conditionalFormatting>
  <conditionalFormatting sqref="J103">
    <cfRule type="expression" dxfId="9" priority="3">
      <formula>H104="R"</formula>
    </cfRule>
    <cfRule type="expression" dxfId="8" priority="4">
      <formula>H104="V"</formula>
    </cfRule>
  </conditionalFormatting>
  <conditionalFormatting sqref="E103">
    <cfRule type="expression" dxfId="7" priority="1">
      <formula>C104="R"</formula>
    </cfRule>
    <cfRule type="expression" dxfId="6" priority="2">
      <formula>C104="V"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4"/>
  <sheetViews>
    <sheetView workbookViewId="0">
      <pane ySplit="1" topLeftCell="A59" activePane="bottomLeft" state="frozen"/>
      <selection activeCell="B139" sqref="B139"/>
      <selection pane="bottomLeft" activeCell="B97" sqref="B97"/>
    </sheetView>
  </sheetViews>
  <sheetFormatPr defaultRowHeight="11.25" outlineLevelCol="1" x14ac:dyDescent="0.2"/>
  <cols>
    <col min="1" max="1" width="4" style="20" bestFit="1" customWidth="1"/>
    <col min="2" max="2" width="45.140625" style="21" bestFit="1" customWidth="1" collapsed="1"/>
    <col min="3" max="4" width="45.140625" style="21" hidden="1" customWidth="1" outlineLevel="1"/>
    <col min="5" max="5" width="6.7109375" style="75" bestFit="1" customWidth="1"/>
    <col min="6" max="6" width="5.85546875" style="75" bestFit="1" customWidth="1"/>
    <col min="7" max="7" width="4.5703125" style="22" customWidth="1"/>
    <col min="8" max="9" width="4.85546875" style="21" bestFit="1" customWidth="1"/>
    <col min="10" max="10" width="4.85546875" style="23" bestFit="1" customWidth="1"/>
    <col min="11" max="11" width="30.7109375" style="1" bestFit="1" customWidth="1"/>
    <col min="12" max="12" width="30.7109375" style="1" customWidth="1"/>
    <col min="13" max="13" width="46.7109375" style="4" bestFit="1" customWidth="1"/>
    <col min="14" max="16384" width="9.140625" style="1"/>
  </cols>
  <sheetData>
    <row r="1" spans="1:13" x14ac:dyDescent="0.2">
      <c r="A1" s="24" t="s">
        <v>293</v>
      </c>
      <c r="B1" s="25" t="s">
        <v>357</v>
      </c>
      <c r="C1" s="25" t="s">
        <v>358</v>
      </c>
      <c r="D1" s="25" t="s">
        <v>359</v>
      </c>
      <c r="E1" s="74" t="s">
        <v>268</v>
      </c>
      <c r="F1" s="74" t="s">
        <v>380</v>
      </c>
      <c r="G1" s="26" t="s">
        <v>308</v>
      </c>
      <c r="H1" s="25" t="s">
        <v>812</v>
      </c>
      <c r="I1" s="25" t="s">
        <v>813</v>
      </c>
      <c r="J1" s="27" t="s">
        <v>815</v>
      </c>
      <c r="K1" s="4" t="s">
        <v>814</v>
      </c>
      <c r="L1" s="4" t="s">
        <v>465</v>
      </c>
      <c r="M1" s="4" t="s">
        <v>378</v>
      </c>
    </row>
    <row r="2" spans="1:13" x14ac:dyDescent="0.2">
      <c r="A2" s="20">
        <v>1</v>
      </c>
      <c r="B2" s="21" t="s">
        <v>296</v>
      </c>
      <c r="C2" s="21" t="s">
        <v>671</v>
      </c>
      <c r="D2" s="21" t="s">
        <v>557</v>
      </c>
      <c r="E2" s="75" t="s">
        <v>468</v>
      </c>
      <c r="F2" s="75" t="s">
        <v>807</v>
      </c>
      <c r="K2" s="1" t="str">
        <f>IF(AND(H2=0,I2=0,J2=0),"-",IF(A2=2,CONCATENATE(H2,I2," ",B2),IF(ISBLANK(H1),CONCATENATE(H2,I2," ",B1),K1)))</f>
        <v>-</v>
      </c>
      <c r="L2" s="1" t="str">
        <f>IF(ISBLANK(H2),"-",CONCATENATE(TEXT(A2,"000")," ",B2))</f>
        <v>-</v>
      </c>
      <c r="M2" s="4" t="str">
        <f t="shared" ref="M2:M33" si="0">IF(jazyk="česky",B2,IF(jazyk="anglicky",C2,IF(jazyk="německy",D2,"-")))</f>
        <v>AKTIVA CELKEM (ř. 02 + 03 + 31 + 63)</v>
      </c>
    </row>
    <row r="3" spans="1:13" x14ac:dyDescent="0.2">
      <c r="A3" s="20">
        <v>2</v>
      </c>
      <c r="B3" s="21" t="s">
        <v>108</v>
      </c>
      <c r="C3" s="21" t="s">
        <v>577</v>
      </c>
      <c r="D3" s="21" t="s">
        <v>469</v>
      </c>
      <c r="E3" s="75" t="s">
        <v>468</v>
      </c>
      <c r="F3" s="75" t="s">
        <v>807</v>
      </c>
      <c r="H3" s="21" t="s">
        <v>274</v>
      </c>
      <c r="K3" s="1" t="str">
        <f t="shared" ref="K3:K66" si="1">IF(AND(H3=0,I3=0,J3=0),"-",IF(A3=2,CONCATENATE(H3,I3," ",B3),IF(ISBLANK(H2),CONCATENATE(H3,I3," ",B2),K2)))</f>
        <v>A. Pohledávky za upsaný základní kapitál</v>
      </c>
      <c r="L3" s="1" t="str">
        <f t="shared" ref="L3:L66" si="2">IF(ISBLANK(H3),"-",CONCATENATE(TEXT(A3,"000")," ",B3))</f>
        <v>002 Pohledávky za upsaný základní kapitál</v>
      </c>
      <c r="M3" s="4" t="str">
        <f t="shared" si="0"/>
        <v>Pohledávky za upsaný základní kapitál</v>
      </c>
    </row>
    <row r="4" spans="1:13" x14ac:dyDescent="0.2">
      <c r="A4" s="20">
        <v>3</v>
      </c>
      <c r="B4" s="21" t="s">
        <v>297</v>
      </c>
      <c r="C4" s="21" t="s">
        <v>672</v>
      </c>
      <c r="D4" s="21" t="s">
        <v>556</v>
      </c>
      <c r="E4" s="75" t="s">
        <v>468</v>
      </c>
      <c r="F4" s="75" t="s">
        <v>807</v>
      </c>
      <c r="K4" s="1" t="str">
        <f t="shared" si="1"/>
        <v>-</v>
      </c>
      <c r="L4" s="1" t="str">
        <f t="shared" si="2"/>
        <v>-</v>
      </c>
      <c r="M4" s="4" t="str">
        <f t="shared" si="0"/>
        <v>Dlouhodobý majetek (ř. 04 + 13 + 23)</v>
      </c>
    </row>
    <row r="5" spans="1:13" x14ac:dyDescent="0.2">
      <c r="A5" s="20">
        <v>4</v>
      </c>
      <c r="B5" s="21" t="s">
        <v>298</v>
      </c>
      <c r="C5" s="21" t="s">
        <v>661</v>
      </c>
      <c r="D5" s="21" t="s">
        <v>558</v>
      </c>
      <c r="E5" s="75" t="s">
        <v>468</v>
      </c>
      <c r="F5" s="75" t="s">
        <v>807</v>
      </c>
      <c r="K5" s="1" t="str">
        <f t="shared" si="1"/>
        <v>-</v>
      </c>
      <c r="L5" s="1" t="str">
        <f t="shared" si="2"/>
        <v>-</v>
      </c>
      <c r="M5" s="4" t="str">
        <f t="shared" si="0"/>
        <v>Dlouhodobý nehmotný majetek (ř. 05 až 12)</v>
      </c>
    </row>
    <row r="6" spans="1:13" x14ac:dyDescent="0.2">
      <c r="A6" s="20">
        <v>5</v>
      </c>
      <c r="B6" s="21" t="s">
        <v>0</v>
      </c>
      <c r="C6" s="21" t="s">
        <v>578</v>
      </c>
      <c r="D6" s="21" t="s">
        <v>470</v>
      </c>
      <c r="E6" s="75" t="s">
        <v>468</v>
      </c>
      <c r="F6" s="75" t="s">
        <v>807</v>
      </c>
      <c r="H6" s="21" t="s">
        <v>275</v>
      </c>
      <c r="I6" s="21" t="s">
        <v>276</v>
      </c>
      <c r="J6" s="23" t="s">
        <v>277</v>
      </c>
      <c r="K6" s="1" t="str">
        <f t="shared" si="1"/>
        <v>B.I. Dlouhodobý nehmotný majetek (ř. 05 až 12)</v>
      </c>
      <c r="L6" s="1" t="str">
        <f t="shared" si="2"/>
        <v>005 Zřizovací výdaje</v>
      </c>
      <c r="M6" s="4" t="str">
        <f t="shared" si="0"/>
        <v>Zřizovací výdaje</v>
      </c>
    </row>
    <row r="7" spans="1:13" x14ac:dyDescent="0.2">
      <c r="A7" s="20">
        <v>6</v>
      </c>
      <c r="B7" s="21" t="s">
        <v>299</v>
      </c>
      <c r="C7" s="21" t="s">
        <v>579</v>
      </c>
      <c r="D7" s="21" t="s">
        <v>471</v>
      </c>
      <c r="E7" s="75" t="s">
        <v>468</v>
      </c>
      <c r="F7" s="75" t="s">
        <v>807</v>
      </c>
      <c r="H7" s="21" t="s">
        <v>275</v>
      </c>
      <c r="I7" s="21" t="s">
        <v>276</v>
      </c>
      <c r="J7" s="23" t="s">
        <v>278</v>
      </c>
      <c r="K7" s="1" t="str">
        <f t="shared" si="1"/>
        <v>B.I. Dlouhodobý nehmotný majetek (ř. 05 až 12)</v>
      </c>
      <c r="L7" s="1" t="str">
        <f t="shared" si="2"/>
        <v xml:space="preserve">006 Nehmotné výsledky výzkumu a vývoje </v>
      </c>
      <c r="M7" s="4" t="str">
        <f t="shared" si="0"/>
        <v xml:space="preserve">Nehmotné výsledky výzkumu a vývoje </v>
      </c>
    </row>
    <row r="8" spans="1:13" x14ac:dyDescent="0.2">
      <c r="A8" s="20">
        <v>7</v>
      </c>
      <c r="B8" s="21" t="s">
        <v>2</v>
      </c>
      <c r="C8" s="21" t="s">
        <v>2</v>
      </c>
      <c r="D8" s="21" t="s">
        <v>2</v>
      </c>
      <c r="E8" s="75" t="s">
        <v>468</v>
      </c>
      <c r="F8" s="75" t="s">
        <v>807</v>
      </c>
      <c r="H8" s="21" t="s">
        <v>275</v>
      </c>
      <c r="I8" s="21" t="s">
        <v>276</v>
      </c>
      <c r="J8" s="23" t="s">
        <v>279</v>
      </c>
      <c r="K8" s="1" t="str">
        <f t="shared" si="1"/>
        <v>B.I. Dlouhodobý nehmotný majetek (ř. 05 až 12)</v>
      </c>
      <c r="L8" s="1" t="str">
        <f t="shared" si="2"/>
        <v>007 Software</v>
      </c>
      <c r="M8" s="4" t="str">
        <f t="shared" si="0"/>
        <v>Software</v>
      </c>
    </row>
    <row r="9" spans="1:13" x14ac:dyDescent="0.2">
      <c r="A9" s="20">
        <v>8</v>
      </c>
      <c r="B9" s="21" t="s">
        <v>3</v>
      </c>
      <c r="C9" s="21" t="s">
        <v>580</v>
      </c>
      <c r="D9" s="21" t="s">
        <v>472</v>
      </c>
      <c r="E9" s="75" t="s">
        <v>468</v>
      </c>
      <c r="F9" s="75" t="s">
        <v>807</v>
      </c>
      <c r="H9" s="21" t="s">
        <v>275</v>
      </c>
      <c r="I9" s="21" t="s">
        <v>276</v>
      </c>
      <c r="J9" s="23" t="s">
        <v>280</v>
      </c>
      <c r="K9" s="1" t="str">
        <f t="shared" si="1"/>
        <v>B.I. Dlouhodobý nehmotný majetek (ř. 05 až 12)</v>
      </c>
      <c r="L9" s="1" t="str">
        <f t="shared" si="2"/>
        <v>008 Ocenitelná práva</v>
      </c>
      <c r="M9" s="4" t="str">
        <f t="shared" si="0"/>
        <v>Ocenitelná práva</v>
      </c>
    </row>
    <row r="10" spans="1:13" x14ac:dyDescent="0.2">
      <c r="A10" s="20">
        <v>9</v>
      </c>
      <c r="B10" s="21" t="s">
        <v>4</v>
      </c>
      <c r="C10" s="21" t="s">
        <v>4</v>
      </c>
      <c r="D10" s="21" t="s">
        <v>473</v>
      </c>
      <c r="E10" s="75" t="s">
        <v>468</v>
      </c>
      <c r="F10" s="75" t="s">
        <v>807</v>
      </c>
      <c r="H10" s="21" t="s">
        <v>275</v>
      </c>
      <c r="I10" s="21" t="s">
        <v>276</v>
      </c>
      <c r="J10" s="23" t="s">
        <v>281</v>
      </c>
      <c r="K10" s="1" t="str">
        <f t="shared" si="1"/>
        <v>B.I. Dlouhodobý nehmotný majetek (ř. 05 až 12)</v>
      </c>
      <c r="L10" s="1" t="str">
        <f t="shared" si="2"/>
        <v>009 Goodwill</v>
      </c>
      <c r="M10" s="4" t="str">
        <f t="shared" si="0"/>
        <v>Goodwill</v>
      </c>
    </row>
    <row r="11" spans="1:13" x14ac:dyDescent="0.2">
      <c r="A11" s="20">
        <v>10</v>
      </c>
      <c r="B11" s="21" t="s">
        <v>5</v>
      </c>
      <c r="C11" s="21" t="s">
        <v>581</v>
      </c>
      <c r="D11" s="21" t="s">
        <v>474</v>
      </c>
      <c r="E11" s="75" t="s">
        <v>468</v>
      </c>
      <c r="F11" s="75" t="s">
        <v>807</v>
      </c>
      <c r="H11" s="21" t="s">
        <v>275</v>
      </c>
      <c r="I11" s="21" t="s">
        <v>276</v>
      </c>
      <c r="J11" s="23" t="s">
        <v>282</v>
      </c>
      <c r="K11" s="1" t="str">
        <f t="shared" si="1"/>
        <v>B.I. Dlouhodobý nehmotný majetek (ř. 05 až 12)</v>
      </c>
      <c r="L11" s="1" t="str">
        <f t="shared" si="2"/>
        <v>010 Jiný dlouhodobý nehmotný majetek</v>
      </c>
      <c r="M11" s="4" t="str">
        <f t="shared" si="0"/>
        <v>Jiný dlouhodobý nehmotný majetek</v>
      </c>
    </row>
    <row r="12" spans="1:13" x14ac:dyDescent="0.2">
      <c r="A12" s="20">
        <v>11</v>
      </c>
      <c r="B12" s="21" t="s">
        <v>285</v>
      </c>
      <c r="C12" s="21" t="s">
        <v>582</v>
      </c>
      <c r="D12" s="21" t="s">
        <v>475</v>
      </c>
      <c r="E12" s="75" t="s">
        <v>468</v>
      </c>
      <c r="F12" s="75" t="s">
        <v>807</v>
      </c>
      <c r="H12" s="21" t="s">
        <v>275</v>
      </c>
      <c r="I12" s="21" t="s">
        <v>276</v>
      </c>
      <c r="J12" s="23" t="s">
        <v>283</v>
      </c>
      <c r="K12" s="1" t="str">
        <f t="shared" si="1"/>
        <v>B.I. Dlouhodobý nehmotný majetek (ř. 05 až 12)</v>
      </c>
      <c r="L12" s="1" t="str">
        <f t="shared" si="2"/>
        <v>011 Nedokončený dlouhodobý nehmotný majetek</v>
      </c>
      <c r="M12" s="4" t="str">
        <f t="shared" si="0"/>
        <v>Nedokončený dlouhodobý nehmotný majetek</v>
      </c>
    </row>
    <row r="13" spans="1:13" x14ac:dyDescent="0.2">
      <c r="A13" s="20">
        <v>12</v>
      </c>
      <c r="B13" s="21" t="s">
        <v>16</v>
      </c>
      <c r="C13" s="21" t="s">
        <v>583</v>
      </c>
      <c r="D13" s="21" t="s">
        <v>476</v>
      </c>
      <c r="E13" s="75" t="s">
        <v>468</v>
      </c>
      <c r="F13" s="75" t="s">
        <v>807</v>
      </c>
      <c r="H13" s="21" t="s">
        <v>275</v>
      </c>
      <c r="I13" s="21" t="s">
        <v>276</v>
      </c>
      <c r="J13" s="23" t="s">
        <v>284</v>
      </c>
      <c r="K13" s="1" t="str">
        <f t="shared" si="1"/>
        <v>B.I. Dlouhodobý nehmotný majetek (ř. 05 až 12)</v>
      </c>
      <c r="L13" s="1" t="str">
        <f t="shared" si="2"/>
        <v>012 Poskytnuté zálohy na dlouhodobý nehmotný majetek</v>
      </c>
      <c r="M13" s="4" t="str">
        <f t="shared" si="0"/>
        <v>Poskytnuté zálohy na dlouhodobý nehmotný majetek</v>
      </c>
    </row>
    <row r="14" spans="1:13" x14ac:dyDescent="0.2">
      <c r="A14" s="20">
        <v>13</v>
      </c>
      <c r="B14" s="21" t="s">
        <v>300</v>
      </c>
      <c r="C14" s="21" t="s">
        <v>662</v>
      </c>
      <c r="D14" s="21" t="s">
        <v>559</v>
      </c>
      <c r="E14" s="75" t="s">
        <v>468</v>
      </c>
      <c r="F14" s="75" t="s">
        <v>807</v>
      </c>
      <c r="K14" s="1" t="str">
        <f t="shared" si="1"/>
        <v>-</v>
      </c>
      <c r="L14" s="1" t="str">
        <f t="shared" si="2"/>
        <v>-</v>
      </c>
      <c r="M14" s="4" t="str">
        <f t="shared" si="0"/>
        <v>Dlouhodobý hmotný majetek  (ř. 14 až 22)</v>
      </c>
    </row>
    <row r="15" spans="1:13" x14ac:dyDescent="0.2">
      <c r="A15" s="20">
        <v>14</v>
      </c>
      <c r="B15" s="21" t="s">
        <v>11</v>
      </c>
      <c r="C15" s="21" t="s">
        <v>584</v>
      </c>
      <c r="D15" s="21" t="s">
        <v>477</v>
      </c>
      <c r="E15" s="75" t="s">
        <v>468</v>
      </c>
      <c r="F15" s="75" t="s">
        <v>807</v>
      </c>
      <c r="H15" s="21" t="s">
        <v>275</v>
      </c>
      <c r="I15" s="21" t="s">
        <v>286</v>
      </c>
      <c r="J15" s="23" t="s">
        <v>277</v>
      </c>
      <c r="K15" s="1" t="str">
        <f t="shared" si="1"/>
        <v>B.II. Dlouhodobý hmotný majetek  (ř. 14 až 22)</v>
      </c>
      <c r="L15" s="1" t="str">
        <f t="shared" si="2"/>
        <v>014 Pozemky</v>
      </c>
      <c r="M15" s="4" t="str">
        <f t="shared" si="0"/>
        <v>Pozemky</v>
      </c>
    </row>
    <row r="16" spans="1:13" x14ac:dyDescent="0.2">
      <c r="A16" s="20">
        <v>15</v>
      </c>
      <c r="B16" s="21" t="s">
        <v>6</v>
      </c>
      <c r="C16" s="21" t="s">
        <v>585</v>
      </c>
      <c r="D16" s="21" t="s">
        <v>478</v>
      </c>
      <c r="E16" s="75" t="s">
        <v>468</v>
      </c>
      <c r="F16" s="75" t="s">
        <v>807</v>
      </c>
      <c r="H16" s="21" t="s">
        <v>275</v>
      </c>
      <c r="I16" s="21" t="s">
        <v>286</v>
      </c>
      <c r="J16" s="23" t="s">
        <v>278</v>
      </c>
      <c r="K16" s="1" t="str">
        <f t="shared" si="1"/>
        <v>B.II. Dlouhodobý hmotný majetek  (ř. 14 až 22)</v>
      </c>
      <c r="L16" s="1" t="str">
        <f t="shared" si="2"/>
        <v>015 Stavby</v>
      </c>
      <c r="M16" s="4" t="str">
        <f t="shared" si="0"/>
        <v>Stavby</v>
      </c>
    </row>
    <row r="17" spans="1:13" x14ac:dyDescent="0.2">
      <c r="A17" s="20">
        <v>16</v>
      </c>
      <c r="B17" s="21" t="s">
        <v>7</v>
      </c>
      <c r="C17" s="21" t="s">
        <v>586</v>
      </c>
      <c r="D17" s="21" t="s">
        <v>479</v>
      </c>
      <c r="E17" s="75" t="s">
        <v>468</v>
      </c>
      <c r="F17" s="75" t="s">
        <v>807</v>
      </c>
      <c r="H17" s="21" t="s">
        <v>275</v>
      </c>
      <c r="I17" s="21" t="s">
        <v>286</v>
      </c>
      <c r="J17" s="23" t="s">
        <v>279</v>
      </c>
      <c r="K17" s="1" t="str">
        <f t="shared" si="1"/>
        <v>B.II. Dlouhodobý hmotný majetek  (ř. 14 až 22)</v>
      </c>
      <c r="L17" s="1" t="str">
        <f t="shared" si="2"/>
        <v>016 Samostatné movité věci a soubory movitých věcí</v>
      </c>
      <c r="M17" s="4" t="str">
        <f t="shared" si="0"/>
        <v>Samostatné movité věci a soubory movitých věcí</v>
      </c>
    </row>
    <row r="18" spans="1:13" x14ac:dyDescent="0.2">
      <c r="A18" s="20">
        <v>17</v>
      </c>
      <c r="B18" s="21" t="s">
        <v>8</v>
      </c>
      <c r="C18" s="21" t="s">
        <v>587</v>
      </c>
      <c r="D18" s="21" t="s">
        <v>480</v>
      </c>
      <c r="E18" s="75" t="s">
        <v>468</v>
      </c>
      <c r="F18" s="75" t="s">
        <v>807</v>
      </c>
      <c r="H18" s="21" t="s">
        <v>275</v>
      </c>
      <c r="I18" s="21" t="s">
        <v>286</v>
      </c>
      <c r="J18" s="23" t="s">
        <v>280</v>
      </c>
      <c r="K18" s="1" t="str">
        <f t="shared" si="1"/>
        <v>B.II. Dlouhodobý hmotný majetek  (ř. 14 až 22)</v>
      </c>
      <c r="L18" s="1" t="str">
        <f t="shared" si="2"/>
        <v>017 Pěstitelské celky trvalých porostů</v>
      </c>
      <c r="M18" s="4" t="str">
        <f t="shared" si="0"/>
        <v>Pěstitelské celky trvalých porostů</v>
      </c>
    </row>
    <row r="19" spans="1:13" x14ac:dyDescent="0.2">
      <c r="A19" s="20">
        <v>18</v>
      </c>
      <c r="B19" s="21" t="s">
        <v>9</v>
      </c>
      <c r="C19" s="21" t="s">
        <v>588</v>
      </c>
      <c r="D19" s="21" t="s">
        <v>481</v>
      </c>
      <c r="E19" s="75" t="s">
        <v>468</v>
      </c>
      <c r="F19" s="75" t="s">
        <v>807</v>
      </c>
      <c r="H19" s="21" t="s">
        <v>275</v>
      </c>
      <c r="I19" s="21" t="s">
        <v>286</v>
      </c>
      <c r="J19" s="23" t="s">
        <v>281</v>
      </c>
      <c r="K19" s="1" t="str">
        <f t="shared" si="1"/>
        <v>B.II. Dlouhodobý hmotný majetek  (ř. 14 až 22)</v>
      </c>
      <c r="L19" s="1" t="str">
        <f t="shared" si="2"/>
        <v>018 Dospělá zvířata a jejich skupiny</v>
      </c>
      <c r="M19" s="4" t="str">
        <f t="shared" si="0"/>
        <v>Dospělá zvířata a jejich skupiny</v>
      </c>
    </row>
    <row r="20" spans="1:13" x14ac:dyDescent="0.2">
      <c r="A20" s="20">
        <v>19</v>
      </c>
      <c r="B20" s="21" t="s">
        <v>10</v>
      </c>
      <c r="C20" s="21" t="s">
        <v>589</v>
      </c>
      <c r="D20" s="21" t="s">
        <v>482</v>
      </c>
      <c r="E20" s="75" t="s">
        <v>468</v>
      </c>
      <c r="F20" s="75" t="s">
        <v>807</v>
      </c>
      <c r="H20" s="21" t="s">
        <v>275</v>
      </c>
      <c r="I20" s="21" t="s">
        <v>286</v>
      </c>
      <c r="J20" s="23" t="s">
        <v>282</v>
      </c>
      <c r="K20" s="1" t="str">
        <f t="shared" si="1"/>
        <v>B.II. Dlouhodobý hmotný majetek  (ř. 14 až 22)</v>
      </c>
      <c r="L20" s="1" t="str">
        <f t="shared" si="2"/>
        <v>019 Jiný dlouhodobý hmotný majetek</v>
      </c>
      <c r="M20" s="4" t="str">
        <f t="shared" si="0"/>
        <v>Jiný dlouhodobý hmotný majetek</v>
      </c>
    </row>
    <row r="21" spans="1:13" x14ac:dyDescent="0.2">
      <c r="A21" s="20">
        <v>20</v>
      </c>
      <c r="B21" s="21" t="s">
        <v>288</v>
      </c>
      <c r="C21" s="21" t="s">
        <v>590</v>
      </c>
      <c r="D21" s="21" t="s">
        <v>483</v>
      </c>
      <c r="E21" s="75" t="s">
        <v>468</v>
      </c>
      <c r="F21" s="75" t="s">
        <v>807</v>
      </c>
      <c r="H21" s="21" t="s">
        <v>275</v>
      </c>
      <c r="I21" s="21" t="s">
        <v>286</v>
      </c>
      <c r="J21" s="23" t="s">
        <v>283</v>
      </c>
      <c r="K21" s="1" t="str">
        <f t="shared" si="1"/>
        <v>B.II. Dlouhodobý hmotný majetek  (ř. 14 až 22)</v>
      </c>
      <c r="L21" s="1" t="str">
        <f t="shared" si="2"/>
        <v>020 Nedokončený dlouhodobý hmotný majetek</v>
      </c>
      <c r="M21" s="4" t="str">
        <f t="shared" si="0"/>
        <v>Nedokončený dlouhodobý hmotný majetek</v>
      </c>
    </row>
    <row r="22" spans="1:13" x14ac:dyDescent="0.2">
      <c r="A22" s="20">
        <v>21</v>
      </c>
      <c r="B22" s="21" t="s">
        <v>17</v>
      </c>
      <c r="C22" s="21" t="s">
        <v>591</v>
      </c>
      <c r="D22" s="21" t="s">
        <v>484</v>
      </c>
      <c r="E22" s="75" t="s">
        <v>468</v>
      </c>
      <c r="F22" s="75" t="s">
        <v>807</v>
      </c>
      <c r="H22" s="21" t="s">
        <v>275</v>
      </c>
      <c r="I22" s="21" t="s">
        <v>286</v>
      </c>
      <c r="J22" s="23" t="s">
        <v>284</v>
      </c>
      <c r="K22" s="1" t="str">
        <f t="shared" si="1"/>
        <v>B.II. Dlouhodobý hmotný majetek  (ř. 14 až 22)</v>
      </c>
      <c r="L22" s="1" t="str">
        <f t="shared" si="2"/>
        <v>021 Poskytnuté zálohy na dlouhodobý hmotný majetek</v>
      </c>
      <c r="M22" s="4" t="str">
        <f t="shared" si="0"/>
        <v>Poskytnuté zálohy na dlouhodobý hmotný majetek</v>
      </c>
    </row>
    <row r="23" spans="1:13" x14ac:dyDescent="0.2">
      <c r="A23" s="20">
        <v>22</v>
      </c>
      <c r="B23" s="21" t="s">
        <v>43</v>
      </c>
      <c r="C23" s="21" t="s">
        <v>592</v>
      </c>
      <c r="D23" s="21" t="s">
        <v>485</v>
      </c>
      <c r="E23" s="75" t="s">
        <v>468</v>
      </c>
      <c r="F23" s="75" t="s">
        <v>807</v>
      </c>
      <c r="H23" s="21" t="s">
        <v>275</v>
      </c>
      <c r="I23" s="21" t="s">
        <v>286</v>
      </c>
      <c r="J23" s="23" t="s">
        <v>287</v>
      </c>
      <c r="K23" s="1" t="str">
        <f t="shared" si="1"/>
        <v>B.II. Dlouhodobý hmotný majetek  (ř. 14 až 22)</v>
      </c>
      <c r="L23" s="1" t="str">
        <f t="shared" si="2"/>
        <v>022 Oceňovací rozdíl k nabytému majetku</v>
      </c>
      <c r="M23" s="4" t="str">
        <f t="shared" si="0"/>
        <v>Oceňovací rozdíl k nabytému majetku</v>
      </c>
    </row>
    <row r="24" spans="1:13" x14ac:dyDescent="0.2">
      <c r="A24" s="20">
        <v>23</v>
      </c>
      <c r="B24" s="21" t="s">
        <v>301</v>
      </c>
      <c r="C24" s="21" t="s">
        <v>663</v>
      </c>
      <c r="D24" s="21" t="s">
        <v>560</v>
      </c>
      <c r="E24" s="75" t="s">
        <v>468</v>
      </c>
      <c r="F24" s="75" t="s">
        <v>807</v>
      </c>
      <c r="K24" s="1" t="str">
        <f t="shared" si="1"/>
        <v>-</v>
      </c>
      <c r="L24" s="1" t="str">
        <f t="shared" si="2"/>
        <v>-</v>
      </c>
      <c r="M24" s="4" t="str">
        <f t="shared" si="0"/>
        <v>Dlouhodobý finanční majetek  (ř. 24 až 30)</v>
      </c>
    </row>
    <row r="25" spans="1:13" x14ac:dyDescent="0.2">
      <c r="A25" s="20">
        <v>24</v>
      </c>
      <c r="B25" s="21" t="s">
        <v>302</v>
      </c>
      <c r="C25" s="21" t="s">
        <v>593</v>
      </c>
      <c r="D25" s="21" t="s">
        <v>486</v>
      </c>
      <c r="E25" s="75" t="s">
        <v>468</v>
      </c>
      <c r="F25" s="75" t="s">
        <v>807</v>
      </c>
      <c r="H25" s="21" t="s">
        <v>275</v>
      </c>
      <c r="I25" s="21" t="s">
        <v>291</v>
      </c>
      <c r="J25" s="23" t="s">
        <v>277</v>
      </c>
      <c r="K25" s="1" t="str">
        <f t="shared" si="1"/>
        <v>B.III. Dlouhodobý finanční majetek  (ř. 24 až 30)</v>
      </c>
      <c r="L25" s="1" t="str">
        <f t="shared" si="2"/>
        <v>024 Podíly - ovládaná osoba</v>
      </c>
      <c r="M25" s="4" t="str">
        <f t="shared" si="0"/>
        <v>Podíly - ovládaná osoba</v>
      </c>
    </row>
    <row r="26" spans="1:13" x14ac:dyDescent="0.2">
      <c r="A26" s="20">
        <v>25</v>
      </c>
      <c r="B26" s="21" t="s">
        <v>20</v>
      </c>
      <c r="C26" s="21" t="s">
        <v>594</v>
      </c>
      <c r="D26" s="21" t="s">
        <v>487</v>
      </c>
      <c r="E26" s="75" t="s">
        <v>468</v>
      </c>
      <c r="F26" s="75" t="s">
        <v>807</v>
      </c>
      <c r="H26" s="21" t="s">
        <v>275</v>
      </c>
      <c r="I26" s="21" t="s">
        <v>291</v>
      </c>
      <c r="J26" s="23" t="s">
        <v>278</v>
      </c>
      <c r="K26" s="1" t="str">
        <f t="shared" si="1"/>
        <v>B.III. Dlouhodobý finanční majetek  (ř. 24 až 30)</v>
      </c>
      <c r="L26" s="1" t="str">
        <f t="shared" si="2"/>
        <v>025 Podíly v účetních jednotkách pod podstatným vlivem</v>
      </c>
      <c r="M26" s="4" t="str">
        <f t="shared" si="0"/>
        <v>Podíly v účetních jednotkách pod podstatným vlivem</v>
      </c>
    </row>
    <row r="27" spans="1:13" x14ac:dyDescent="0.2">
      <c r="A27" s="20">
        <v>26</v>
      </c>
      <c r="B27" s="21" t="s">
        <v>303</v>
      </c>
      <c r="C27" s="21" t="s">
        <v>595</v>
      </c>
      <c r="D27" s="21" t="s">
        <v>488</v>
      </c>
      <c r="E27" s="75" t="s">
        <v>468</v>
      </c>
      <c r="F27" s="75" t="s">
        <v>807</v>
      </c>
      <c r="H27" s="21" t="s">
        <v>275</v>
      </c>
      <c r="I27" s="21" t="s">
        <v>291</v>
      </c>
      <c r="J27" s="23" t="s">
        <v>279</v>
      </c>
      <c r="K27" s="1" t="str">
        <f t="shared" si="1"/>
        <v>B.III. Dlouhodobý finanční majetek  (ř. 24 až 30)</v>
      </c>
      <c r="L27" s="1" t="str">
        <f t="shared" si="2"/>
        <v>026 Ostatní dlouhodobé cenné papíry a podíly</v>
      </c>
      <c r="M27" s="4" t="str">
        <f t="shared" si="0"/>
        <v>Ostatní dlouhodobé cenné papíry a podíly</v>
      </c>
    </row>
    <row r="28" spans="1:13" x14ac:dyDescent="0.2">
      <c r="A28" s="20">
        <v>27</v>
      </c>
      <c r="B28" s="21" t="s">
        <v>304</v>
      </c>
      <c r="C28" s="21" t="s">
        <v>596</v>
      </c>
      <c r="D28" s="21" t="s">
        <v>809</v>
      </c>
      <c r="E28" s="75" t="s">
        <v>468</v>
      </c>
      <c r="F28" s="75" t="s">
        <v>807</v>
      </c>
      <c r="H28" s="21" t="s">
        <v>275</v>
      </c>
      <c r="I28" s="21" t="s">
        <v>291</v>
      </c>
      <c r="J28" s="23" t="s">
        <v>280</v>
      </c>
      <c r="K28" s="1" t="str">
        <f t="shared" si="1"/>
        <v>B.III. Dlouhodobý finanční majetek  (ř. 24 až 30)</v>
      </c>
      <c r="L28" s="1" t="str">
        <f t="shared" si="2"/>
        <v>027 Půjčky a úvěry - ovládaná nebo ovládající osoba, podstatný vliv</v>
      </c>
      <c r="M28" s="4" t="str">
        <f t="shared" si="0"/>
        <v>Půjčky a úvěry - ovládaná nebo ovládající osoba, podstatný vliv</v>
      </c>
    </row>
    <row r="29" spans="1:13" x14ac:dyDescent="0.2">
      <c r="A29" s="20">
        <v>28</v>
      </c>
      <c r="B29" s="21" t="s">
        <v>25</v>
      </c>
      <c r="C29" s="21" t="s">
        <v>597</v>
      </c>
      <c r="D29" s="21" t="s">
        <v>489</v>
      </c>
      <c r="E29" s="75" t="s">
        <v>468</v>
      </c>
      <c r="F29" s="75" t="s">
        <v>807</v>
      </c>
      <c r="H29" s="21" t="s">
        <v>275</v>
      </c>
      <c r="I29" s="21" t="s">
        <v>291</v>
      </c>
      <c r="J29" s="23" t="s">
        <v>281</v>
      </c>
      <c r="K29" s="1" t="str">
        <f t="shared" si="1"/>
        <v>B.III. Dlouhodobý finanční majetek  (ř. 24 až 30)</v>
      </c>
      <c r="L29" s="1" t="str">
        <f t="shared" si="2"/>
        <v>028 Jiný dlouhodobý finanční majetek</v>
      </c>
      <c r="M29" s="4" t="str">
        <f t="shared" si="0"/>
        <v>Jiný dlouhodobý finanční majetek</v>
      </c>
    </row>
    <row r="30" spans="1:13" x14ac:dyDescent="0.2">
      <c r="A30" s="20">
        <v>29</v>
      </c>
      <c r="B30" s="21" t="s">
        <v>305</v>
      </c>
      <c r="C30" s="21" t="s">
        <v>598</v>
      </c>
      <c r="D30" s="21" t="s">
        <v>490</v>
      </c>
      <c r="E30" s="75" t="s">
        <v>468</v>
      </c>
      <c r="F30" s="75" t="s">
        <v>807</v>
      </c>
      <c r="H30" s="21" t="s">
        <v>275</v>
      </c>
      <c r="I30" s="21" t="s">
        <v>291</v>
      </c>
      <c r="J30" s="23" t="s">
        <v>282</v>
      </c>
      <c r="K30" s="1" t="str">
        <f t="shared" si="1"/>
        <v>B.III. Dlouhodobý finanční majetek  (ř. 24 až 30)</v>
      </c>
      <c r="L30" s="1" t="str">
        <f t="shared" si="2"/>
        <v>029 Pořizovaný dlouhodobý finanční majetek</v>
      </c>
      <c r="M30" s="4" t="str">
        <f t="shared" si="0"/>
        <v>Pořizovaný dlouhodobý finanční majetek</v>
      </c>
    </row>
    <row r="31" spans="1:13" x14ac:dyDescent="0.2">
      <c r="A31" s="20">
        <v>30</v>
      </c>
      <c r="B31" s="21" t="s">
        <v>18</v>
      </c>
      <c r="C31" s="21" t="s">
        <v>599</v>
      </c>
      <c r="D31" s="21" t="s">
        <v>491</v>
      </c>
      <c r="E31" s="75" t="s">
        <v>468</v>
      </c>
      <c r="F31" s="75" t="s">
        <v>807</v>
      </c>
      <c r="H31" s="21" t="s">
        <v>275</v>
      </c>
      <c r="I31" s="21" t="s">
        <v>291</v>
      </c>
      <c r="J31" s="23" t="s">
        <v>283</v>
      </c>
      <c r="K31" s="1" t="str">
        <f t="shared" si="1"/>
        <v>B.III. Dlouhodobý finanční majetek  (ř. 24 až 30)</v>
      </c>
      <c r="L31" s="1" t="str">
        <f t="shared" si="2"/>
        <v>030 Poskytnuté zálohy na dlouhodobý finanční majetek</v>
      </c>
      <c r="M31" s="4" t="str">
        <f t="shared" si="0"/>
        <v>Poskytnuté zálohy na dlouhodobý finanční majetek</v>
      </c>
    </row>
    <row r="32" spans="1:13" x14ac:dyDescent="0.2">
      <c r="A32" s="20">
        <v>31</v>
      </c>
      <c r="B32" s="21" t="s">
        <v>310</v>
      </c>
      <c r="C32" s="21" t="s">
        <v>673</v>
      </c>
      <c r="D32" s="21" t="s">
        <v>561</v>
      </c>
      <c r="E32" s="75" t="s">
        <v>468</v>
      </c>
      <c r="F32" s="75" t="s">
        <v>807</v>
      </c>
      <c r="K32" s="1" t="str">
        <f t="shared" si="1"/>
        <v>-</v>
      </c>
      <c r="L32" s="1" t="str">
        <f t="shared" si="2"/>
        <v>-</v>
      </c>
      <c r="M32" s="4" t="str">
        <f t="shared" si="0"/>
        <v>Oběžná aktiva  (ř. 32 + 39 + 48 + 58)</v>
      </c>
    </row>
    <row r="33" spans="1:13" x14ac:dyDescent="0.2">
      <c r="A33" s="20">
        <v>32</v>
      </c>
      <c r="B33" s="21" t="s">
        <v>311</v>
      </c>
      <c r="C33" s="21" t="s">
        <v>664</v>
      </c>
      <c r="D33" s="21" t="s">
        <v>562</v>
      </c>
      <c r="E33" s="75" t="s">
        <v>468</v>
      </c>
      <c r="F33" s="75" t="s">
        <v>807</v>
      </c>
      <c r="K33" s="1" t="str">
        <f t="shared" si="1"/>
        <v>-</v>
      </c>
      <c r="L33" s="1" t="str">
        <f t="shared" si="2"/>
        <v>-</v>
      </c>
      <c r="M33" s="4" t="str">
        <f t="shared" si="0"/>
        <v>Zásoby   (ř. 33 až 38)</v>
      </c>
    </row>
    <row r="34" spans="1:13" x14ac:dyDescent="0.2">
      <c r="A34" s="20">
        <v>33</v>
      </c>
      <c r="B34" s="21" t="s">
        <v>260</v>
      </c>
      <c r="C34" s="21" t="s">
        <v>600</v>
      </c>
      <c r="D34" s="21" t="s">
        <v>492</v>
      </c>
      <c r="E34" s="75" t="s">
        <v>468</v>
      </c>
      <c r="F34" s="75" t="s">
        <v>807</v>
      </c>
      <c r="H34" s="21" t="s">
        <v>309</v>
      </c>
      <c r="I34" s="21" t="s">
        <v>276</v>
      </c>
      <c r="J34" s="23" t="s">
        <v>277</v>
      </c>
      <c r="K34" s="1" t="str">
        <f t="shared" si="1"/>
        <v>C.I. Zásoby   (ř. 33 až 38)</v>
      </c>
      <c r="L34" s="1" t="str">
        <f t="shared" si="2"/>
        <v>033 Materiál</v>
      </c>
      <c r="M34" s="4" t="str">
        <f t="shared" ref="M34:M65" si="3">IF(jazyk="česky",B34,IF(jazyk="anglicky",C34,IF(jazyk="německy",D34,"-")))</f>
        <v>Materiál</v>
      </c>
    </row>
    <row r="35" spans="1:13" x14ac:dyDescent="0.2">
      <c r="A35" s="20">
        <v>34</v>
      </c>
      <c r="B35" s="21" t="s">
        <v>312</v>
      </c>
      <c r="C35" s="21" t="s">
        <v>601</v>
      </c>
      <c r="D35" s="21" t="s">
        <v>493</v>
      </c>
      <c r="E35" s="75" t="s">
        <v>468</v>
      </c>
      <c r="F35" s="75" t="s">
        <v>807</v>
      </c>
      <c r="H35" s="21" t="s">
        <v>309</v>
      </c>
      <c r="I35" s="21" t="s">
        <v>276</v>
      </c>
      <c r="J35" s="23" t="s">
        <v>278</v>
      </c>
      <c r="K35" s="1" t="str">
        <f t="shared" si="1"/>
        <v>C.I. Zásoby   (ř. 33 až 38)</v>
      </c>
      <c r="L35" s="1" t="str">
        <f t="shared" si="2"/>
        <v>034 Nedokončená výroba a polotovary</v>
      </c>
      <c r="M35" s="4" t="str">
        <f t="shared" si="3"/>
        <v>Nedokončená výroba a polotovary</v>
      </c>
    </row>
    <row r="36" spans="1:13" x14ac:dyDescent="0.2">
      <c r="A36" s="20">
        <v>35</v>
      </c>
      <c r="B36" s="21" t="s">
        <v>50</v>
      </c>
      <c r="C36" s="21" t="s">
        <v>602</v>
      </c>
      <c r="D36" s="21" t="s">
        <v>494</v>
      </c>
      <c r="E36" s="75" t="s">
        <v>468</v>
      </c>
      <c r="F36" s="75" t="s">
        <v>807</v>
      </c>
      <c r="H36" s="21" t="s">
        <v>309</v>
      </c>
      <c r="I36" s="21" t="s">
        <v>276</v>
      </c>
      <c r="J36" s="23" t="s">
        <v>279</v>
      </c>
      <c r="K36" s="1" t="str">
        <f t="shared" si="1"/>
        <v>C.I. Zásoby   (ř. 33 až 38)</v>
      </c>
      <c r="L36" s="1" t="str">
        <f t="shared" si="2"/>
        <v>035 Výrobky</v>
      </c>
      <c r="M36" s="4" t="str">
        <f t="shared" si="3"/>
        <v>Výrobky</v>
      </c>
    </row>
    <row r="37" spans="1:13" x14ac:dyDescent="0.2">
      <c r="A37" s="20">
        <v>36</v>
      </c>
      <c r="B37" s="21" t="s">
        <v>51</v>
      </c>
      <c r="C37" s="21" t="s">
        <v>603</v>
      </c>
      <c r="D37" s="21" t="s">
        <v>495</v>
      </c>
      <c r="E37" s="75" t="s">
        <v>468</v>
      </c>
      <c r="F37" s="75" t="s">
        <v>807</v>
      </c>
      <c r="H37" s="21" t="s">
        <v>309</v>
      </c>
      <c r="I37" s="21" t="s">
        <v>276</v>
      </c>
      <c r="J37" s="23" t="s">
        <v>280</v>
      </c>
      <c r="K37" s="1" t="str">
        <f t="shared" si="1"/>
        <v>C.I. Zásoby   (ř. 33 až 38)</v>
      </c>
      <c r="L37" s="1" t="str">
        <f t="shared" si="2"/>
        <v>036 Mladá a ostatní zvířata a jejich skupiny</v>
      </c>
      <c r="M37" s="4" t="str">
        <f t="shared" si="3"/>
        <v>Mladá a ostatní zvířata a jejich skupiny</v>
      </c>
    </row>
    <row r="38" spans="1:13" x14ac:dyDescent="0.2">
      <c r="A38" s="20">
        <v>37</v>
      </c>
      <c r="B38" s="21" t="s">
        <v>261</v>
      </c>
      <c r="C38" s="21" t="s">
        <v>604</v>
      </c>
      <c r="D38" s="21" t="s">
        <v>496</v>
      </c>
      <c r="E38" s="75" t="s">
        <v>468</v>
      </c>
      <c r="F38" s="75" t="s">
        <v>807</v>
      </c>
      <c r="H38" s="21" t="s">
        <v>309</v>
      </c>
      <c r="I38" s="21" t="s">
        <v>276</v>
      </c>
      <c r="J38" s="23" t="s">
        <v>281</v>
      </c>
      <c r="K38" s="1" t="str">
        <f t="shared" si="1"/>
        <v>C.I. Zásoby   (ř. 33 až 38)</v>
      </c>
      <c r="L38" s="1" t="str">
        <f t="shared" si="2"/>
        <v>037 Zboží</v>
      </c>
      <c r="M38" s="4" t="str">
        <f t="shared" si="3"/>
        <v>Zboží</v>
      </c>
    </row>
    <row r="39" spans="1:13" x14ac:dyDescent="0.2">
      <c r="A39" s="20">
        <v>38</v>
      </c>
      <c r="B39" s="21" t="s">
        <v>265</v>
      </c>
      <c r="C39" s="21" t="s">
        <v>605</v>
      </c>
      <c r="D39" s="21" t="s">
        <v>497</v>
      </c>
      <c r="E39" s="75" t="s">
        <v>468</v>
      </c>
      <c r="F39" s="75" t="s">
        <v>807</v>
      </c>
      <c r="H39" s="21" t="s">
        <v>309</v>
      </c>
      <c r="I39" s="21" t="s">
        <v>276</v>
      </c>
      <c r="J39" s="23" t="s">
        <v>282</v>
      </c>
      <c r="K39" s="1" t="str">
        <f t="shared" si="1"/>
        <v>C.I. Zásoby   (ř. 33 až 38)</v>
      </c>
      <c r="L39" s="1" t="str">
        <f t="shared" si="2"/>
        <v>038 Poskytnuté zálohy na zásoby</v>
      </c>
      <c r="M39" s="4" t="str">
        <f t="shared" si="3"/>
        <v>Poskytnuté zálohy na zásoby</v>
      </c>
    </row>
    <row r="40" spans="1:13" x14ac:dyDescent="0.2">
      <c r="A40" s="20">
        <v>39</v>
      </c>
      <c r="B40" s="21" t="s">
        <v>313</v>
      </c>
      <c r="C40" s="21" t="s">
        <v>665</v>
      </c>
      <c r="D40" s="21" t="s">
        <v>563</v>
      </c>
      <c r="E40" s="75" t="s">
        <v>468</v>
      </c>
      <c r="F40" s="75" t="s">
        <v>807</v>
      </c>
      <c r="K40" s="1" t="str">
        <f t="shared" si="1"/>
        <v>-</v>
      </c>
      <c r="L40" s="1" t="str">
        <f t="shared" si="2"/>
        <v>-</v>
      </c>
      <c r="M40" s="4" t="str">
        <f t="shared" si="3"/>
        <v>Dlouhodobé pohledávky  (ř. 40 až 47)</v>
      </c>
    </row>
    <row r="41" spans="1:13" x14ac:dyDescent="0.2">
      <c r="A41" s="20">
        <v>40</v>
      </c>
      <c r="B41" s="21" t="s">
        <v>86</v>
      </c>
      <c r="C41" s="21" t="s">
        <v>606</v>
      </c>
      <c r="D41" s="21" t="s">
        <v>498</v>
      </c>
      <c r="E41" s="75" t="s">
        <v>468</v>
      </c>
      <c r="F41" s="75" t="s">
        <v>807</v>
      </c>
      <c r="H41" s="21" t="s">
        <v>309</v>
      </c>
      <c r="I41" s="21" t="s">
        <v>286</v>
      </c>
      <c r="J41" s="23" t="s">
        <v>277</v>
      </c>
      <c r="K41" s="1" t="str">
        <f t="shared" si="1"/>
        <v>C.II. Dlouhodobé pohledávky  (ř. 40 až 47)</v>
      </c>
      <c r="L41" s="1" t="str">
        <f t="shared" si="2"/>
        <v>040 Pohledávky z obchodních vztahů</v>
      </c>
      <c r="M41" s="4" t="str">
        <f t="shared" si="3"/>
        <v>Pohledávky z obchodních vztahů</v>
      </c>
    </row>
    <row r="42" spans="1:13" x14ac:dyDescent="0.2">
      <c r="A42" s="20">
        <v>41</v>
      </c>
      <c r="B42" s="21" t="s">
        <v>314</v>
      </c>
      <c r="C42" s="21" t="s">
        <v>607</v>
      </c>
      <c r="D42" s="21" t="s">
        <v>499</v>
      </c>
      <c r="E42" s="75" t="s">
        <v>468</v>
      </c>
      <c r="F42" s="75" t="s">
        <v>807</v>
      </c>
      <c r="H42" s="21" t="s">
        <v>309</v>
      </c>
      <c r="I42" s="21" t="s">
        <v>286</v>
      </c>
      <c r="J42" s="23" t="s">
        <v>278</v>
      </c>
      <c r="K42" s="1" t="str">
        <f t="shared" si="1"/>
        <v>C.II. Dlouhodobé pohledávky  (ř. 40 až 47)</v>
      </c>
      <c r="L42" s="1" t="str">
        <f t="shared" si="2"/>
        <v>041 Pohledávky - ovládaná nebo ovládající osoba</v>
      </c>
      <c r="M42" s="4" t="str">
        <f t="shared" si="3"/>
        <v>Pohledávky - ovládaná nebo ovládající osoba</v>
      </c>
    </row>
    <row r="43" spans="1:13" x14ac:dyDescent="0.2">
      <c r="A43" s="20">
        <v>42</v>
      </c>
      <c r="B43" s="21" t="s">
        <v>107</v>
      </c>
      <c r="C43" s="21" t="s">
        <v>608</v>
      </c>
      <c r="D43" s="21" t="s">
        <v>500</v>
      </c>
      <c r="E43" s="75" t="s">
        <v>468</v>
      </c>
      <c r="F43" s="75" t="s">
        <v>807</v>
      </c>
      <c r="H43" s="21" t="s">
        <v>309</v>
      </c>
      <c r="I43" s="21" t="s">
        <v>286</v>
      </c>
      <c r="J43" s="23" t="s">
        <v>279</v>
      </c>
      <c r="K43" s="1" t="str">
        <f t="shared" si="1"/>
        <v>C.II. Dlouhodobé pohledávky  (ř. 40 až 47)</v>
      </c>
      <c r="L43" s="1" t="str">
        <f t="shared" si="2"/>
        <v>042 Pohledávky - podstatný vliv</v>
      </c>
      <c r="M43" s="4" t="str">
        <f t="shared" si="3"/>
        <v>Pohledávky - podstatný vliv</v>
      </c>
    </row>
    <row r="44" spans="1:13" x14ac:dyDescent="0.2">
      <c r="A44" s="20">
        <v>43</v>
      </c>
      <c r="B44" s="21" t="s">
        <v>315</v>
      </c>
      <c r="C44" s="21" t="s">
        <v>609</v>
      </c>
      <c r="D44" s="21" t="s">
        <v>501</v>
      </c>
      <c r="E44" s="75" t="s">
        <v>468</v>
      </c>
      <c r="F44" s="75" t="s">
        <v>807</v>
      </c>
      <c r="H44" s="21" t="s">
        <v>309</v>
      </c>
      <c r="I44" s="21" t="s">
        <v>286</v>
      </c>
      <c r="J44" s="23" t="s">
        <v>280</v>
      </c>
      <c r="K44" s="1" t="str">
        <f t="shared" si="1"/>
        <v>C.II. Dlouhodobé pohledávky  (ř. 40 až 47)</v>
      </c>
      <c r="L44" s="1" t="str">
        <f t="shared" si="2"/>
        <v>043 Pohledávky za společníky, členy družstva  a za účastníky sdružení</v>
      </c>
      <c r="M44" s="4" t="str">
        <f t="shared" si="3"/>
        <v>Pohledávky za společníky, členy družstva  a za účastníky sdružení</v>
      </c>
    </row>
    <row r="45" spans="1:13" x14ac:dyDescent="0.2">
      <c r="A45" s="20">
        <v>44</v>
      </c>
      <c r="B45" s="21" t="s">
        <v>316</v>
      </c>
      <c r="C45" s="21" t="s">
        <v>610</v>
      </c>
      <c r="D45" s="21" t="s">
        <v>502</v>
      </c>
      <c r="E45" s="75" t="s">
        <v>468</v>
      </c>
      <c r="F45" s="75" t="s">
        <v>807</v>
      </c>
      <c r="H45" s="21" t="s">
        <v>309</v>
      </c>
      <c r="I45" s="21" t="s">
        <v>286</v>
      </c>
      <c r="J45" s="23" t="s">
        <v>281</v>
      </c>
      <c r="K45" s="1" t="str">
        <f t="shared" si="1"/>
        <v>C.II. Dlouhodobé pohledávky  (ř. 40 až 47)</v>
      </c>
      <c r="L45" s="1" t="str">
        <f t="shared" si="2"/>
        <v>044 Dlouhodobé poskytnuté zálohy</v>
      </c>
      <c r="M45" s="4" t="str">
        <f t="shared" si="3"/>
        <v>Dlouhodobé poskytnuté zálohy</v>
      </c>
    </row>
    <row r="46" spans="1:13" x14ac:dyDescent="0.2">
      <c r="A46" s="20">
        <v>45</v>
      </c>
      <c r="B46" s="21" t="s">
        <v>133</v>
      </c>
      <c r="C46" s="21" t="s">
        <v>611</v>
      </c>
      <c r="D46" s="21" t="s">
        <v>503</v>
      </c>
      <c r="E46" s="75" t="s">
        <v>468</v>
      </c>
      <c r="F46" s="75" t="s">
        <v>807</v>
      </c>
      <c r="H46" s="21" t="s">
        <v>309</v>
      </c>
      <c r="I46" s="21" t="s">
        <v>286</v>
      </c>
      <c r="J46" s="23" t="s">
        <v>282</v>
      </c>
      <c r="K46" s="1" t="str">
        <f t="shared" si="1"/>
        <v>C.II. Dlouhodobé pohledávky  (ř. 40 až 47)</v>
      </c>
      <c r="L46" s="1" t="str">
        <f t="shared" si="2"/>
        <v>045 Dohadné účty aktivní</v>
      </c>
      <c r="M46" s="4" t="str">
        <f t="shared" si="3"/>
        <v>Dohadné účty aktivní</v>
      </c>
    </row>
    <row r="47" spans="1:13" x14ac:dyDescent="0.2">
      <c r="A47" s="20">
        <v>46</v>
      </c>
      <c r="B47" s="21" t="s">
        <v>126</v>
      </c>
      <c r="C47" s="21" t="s">
        <v>612</v>
      </c>
      <c r="D47" s="21" t="s">
        <v>504</v>
      </c>
      <c r="E47" s="75" t="s">
        <v>468</v>
      </c>
      <c r="F47" s="75" t="s">
        <v>807</v>
      </c>
      <c r="H47" s="21" t="s">
        <v>309</v>
      </c>
      <c r="I47" s="21" t="s">
        <v>286</v>
      </c>
      <c r="J47" s="23" t="s">
        <v>283</v>
      </c>
      <c r="K47" s="1" t="str">
        <f t="shared" si="1"/>
        <v>C.II. Dlouhodobé pohledávky  (ř. 40 až 47)</v>
      </c>
      <c r="L47" s="1" t="str">
        <f t="shared" si="2"/>
        <v>046 Jiné pohledávky</v>
      </c>
      <c r="M47" s="4" t="str">
        <f t="shared" si="3"/>
        <v>Jiné pohledávky</v>
      </c>
    </row>
    <row r="48" spans="1:13" x14ac:dyDescent="0.2">
      <c r="A48" s="20">
        <v>47</v>
      </c>
      <c r="B48" s="21" t="s">
        <v>317</v>
      </c>
      <c r="C48" s="21" t="s">
        <v>613</v>
      </c>
      <c r="D48" s="21" t="s">
        <v>505</v>
      </c>
      <c r="E48" s="75" t="s">
        <v>468</v>
      </c>
      <c r="F48" s="75" t="s">
        <v>807</v>
      </c>
      <c r="H48" s="21" t="s">
        <v>309</v>
      </c>
      <c r="I48" s="21" t="s">
        <v>286</v>
      </c>
      <c r="J48" s="23" t="s">
        <v>284</v>
      </c>
      <c r="K48" s="1" t="str">
        <f t="shared" si="1"/>
        <v>C.II. Dlouhodobé pohledávky  (ř. 40 až 47)</v>
      </c>
      <c r="L48" s="1" t="str">
        <f t="shared" si="2"/>
        <v>047 Odložená daňová pohledávka</v>
      </c>
      <c r="M48" s="4" t="str">
        <f t="shared" si="3"/>
        <v>Odložená daňová pohledávka</v>
      </c>
    </row>
    <row r="49" spans="1:13" x14ac:dyDescent="0.2">
      <c r="A49" s="20">
        <v>48</v>
      </c>
      <c r="B49" s="21" t="s">
        <v>318</v>
      </c>
      <c r="C49" s="21" t="s">
        <v>666</v>
      </c>
      <c r="D49" s="21" t="s">
        <v>564</v>
      </c>
      <c r="E49" s="75" t="s">
        <v>468</v>
      </c>
      <c r="F49" s="75" t="s">
        <v>807</v>
      </c>
      <c r="K49" s="1" t="str">
        <f t="shared" si="1"/>
        <v>-</v>
      </c>
      <c r="L49" s="1" t="str">
        <f t="shared" si="2"/>
        <v>-</v>
      </c>
      <c r="M49" s="4" t="str">
        <f t="shared" si="3"/>
        <v>Krátkodobé pohledávky  (ř. 49 až 57)</v>
      </c>
    </row>
    <row r="50" spans="1:13" x14ac:dyDescent="0.2">
      <c r="A50" s="20">
        <v>49</v>
      </c>
      <c r="B50" s="21" t="s">
        <v>86</v>
      </c>
      <c r="C50" s="21" t="s">
        <v>606</v>
      </c>
      <c r="D50" s="21" t="s">
        <v>498</v>
      </c>
      <c r="E50" s="75" t="s">
        <v>468</v>
      </c>
      <c r="F50" s="75" t="s">
        <v>807</v>
      </c>
      <c r="H50" s="21" t="s">
        <v>309</v>
      </c>
      <c r="I50" s="21" t="s">
        <v>291</v>
      </c>
      <c r="J50" s="23" t="s">
        <v>277</v>
      </c>
      <c r="K50" s="1" t="str">
        <f t="shared" si="1"/>
        <v>C.III. Krátkodobé pohledávky  (ř. 49 až 57)</v>
      </c>
      <c r="L50" s="1" t="str">
        <f t="shared" si="2"/>
        <v>049 Pohledávky z obchodních vztahů</v>
      </c>
      <c r="M50" s="4" t="str">
        <f t="shared" si="3"/>
        <v>Pohledávky z obchodních vztahů</v>
      </c>
    </row>
    <row r="51" spans="1:13" x14ac:dyDescent="0.2">
      <c r="A51" s="20">
        <v>50</v>
      </c>
      <c r="B51" s="21" t="s">
        <v>106</v>
      </c>
      <c r="C51" s="21" t="s">
        <v>607</v>
      </c>
      <c r="D51" s="21" t="s">
        <v>499</v>
      </c>
      <c r="E51" s="75" t="s">
        <v>468</v>
      </c>
      <c r="F51" s="75" t="s">
        <v>807</v>
      </c>
      <c r="H51" s="21" t="s">
        <v>309</v>
      </c>
      <c r="I51" s="21" t="s">
        <v>291</v>
      </c>
      <c r="J51" s="23" t="s">
        <v>278</v>
      </c>
      <c r="K51" s="1" t="str">
        <f t="shared" si="1"/>
        <v>C.III. Krátkodobé pohledávky  (ř. 49 až 57)</v>
      </c>
      <c r="L51" s="1" t="str">
        <f t="shared" si="2"/>
        <v>050 Pohledávky - ovládající a řídící osoba</v>
      </c>
      <c r="M51" s="4" t="str">
        <f t="shared" si="3"/>
        <v>Pohledávky - ovládající a řídící osoba</v>
      </c>
    </row>
    <row r="52" spans="1:13" x14ac:dyDescent="0.2">
      <c r="A52" s="20">
        <v>51</v>
      </c>
      <c r="B52" s="21" t="s">
        <v>107</v>
      </c>
      <c r="C52" s="21" t="s">
        <v>608</v>
      </c>
      <c r="D52" s="21" t="s">
        <v>500</v>
      </c>
      <c r="E52" s="75" t="s">
        <v>468</v>
      </c>
      <c r="F52" s="75" t="s">
        <v>807</v>
      </c>
      <c r="H52" s="21" t="s">
        <v>309</v>
      </c>
      <c r="I52" s="21" t="s">
        <v>291</v>
      </c>
      <c r="J52" s="23" t="s">
        <v>279</v>
      </c>
      <c r="K52" s="1" t="str">
        <f t="shared" si="1"/>
        <v>C.III. Krátkodobé pohledávky  (ř. 49 až 57)</v>
      </c>
      <c r="L52" s="1" t="str">
        <f t="shared" si="2"/>
        <v>051 Pohledávky - podstatný vliv</v>
      </c>
      <c r="M52" s="4" t="str">
        <f t="shared" si="3"/>
        <v>Pohledávky - podstatný vliv</v>
      </c>
    </row>
    <row r="53" spans="1:13" x14ac:dyDescent="0.2">
      <c r="A53" s="20">
        <v>52</v>
      </c>
      <c r="B53" s="21" t="s">
        <v>315</v>
      </c>
      <c r="C53" s="21" t="s">
        <v>609</v>
      </c>
      <c r="D53" s="21" t="s">
        <v>501</v>
      </c>
      <c r="E53" s="75" t="s">
        <v>468</v>
      </c>
      <c r="F53" s="75" t="s">
        <v>807</v>
      </c>
      <c r="H53" s="21" t="s">
        <v>309</v>
      </c>
      <c r="I53" s="21" t="s">
        <v>291</v>
      </c>
      <c r="J53" s="23" t="s">
        <v>280</v>
      </c>
      <c r="K53" s="1" t="str">
        <f t="shared" si="1"/>
        <v>C.III. Krátkodobé pohledávky  (ř. 49 až 57)</v>
      </c>
      <c r="L53" s="1" t="str">
        <f t="shared" si="2"/>
        <v>052 Pohledávky za společníky, členy družstva  a za účastníky sdružení</v>
      </c>
      <c r="M53" s="4" t="str">
        <f t="shared" si="3"/>
        <v>Pohledávky za společníky, členy družstva  a za účastníky sdružení</v>
      </c>
    </row>
    <row r="54" spans="1:13" x14ac:dyDescent="0.2">
      <c r="A54" s="20">
        <v>53</v>
      </c>
      <c r="B54" s="21" t="s">
        <v>319</v>
      </c>
      <c r="C54" s="21" t="s">
        <v>614</v>
      </c>
      <c r="D54" s="21" t="s">
        <v>506</v>
      </c>
      <c r="E54" s="75" t="s">
        <v>468</v>
      </c>
      <c r="F54" s="75" t="s">
        <v>807</v>
      </c>
      <c r="H54" s="21" t="s">
        <v>309</v>
      </c>
      <c r="I54" s="21" t="s">
        <v>291</v>
      </c>
      <c r="J54" s="23" t="s">
        <v>281</v>
      </c>
      <c r="K54" s="1" t="str">
        <f t="shared" si="1"/>
        <v>C.III. Krátkodobé pohledávky  (ř. 49 až 57)</v>
      </c>
      <c r="L54" s="1" t="str">
        <f t="shared" si="2"/>
        <v>053 Sociální zabezpečení a zdravotní pojištění</v>
      </c>
      <c r="M54" s="4" t="str">
        <f t="shared" si="3"/>
        <v>Sociální zabezpečení a zdravotní pojištění</v>
      </c>
    </row>
    <row r="55" spans="1:13" x14ac:dyDescent="0.2">
      <c r="A55" s="20">
        <v>54</v>
      </c>
      <c r="B55" s="21" t="s">
        <v>320</v>
      </c>
      <c r="C55" s="21" t="s">
        <v>615</v>
      </c>
      <c r="D55" s="21" t="s">
        <v>507</v>
      </c>
      <c r="E55" s="75" t="s">
        <v>468</v>
      </c>
      <c r="F55" s="75" t="s">
        <v>807</v>
      </c>
      <c r="H55" s="21" t="s">
        <v>309</v>
      </c>
      <c r="I55" s="21" t="s">
        <v>291</v>
      </c>
      <c r="J55" s="23" t="s">
        <v>282</v>
      </c>
      <c r="K55" s="1" t="str">
        <f t="shared" si="1"/>
        <v>C.III. Krátkodobé pohledávky  (ř. 49 až 57)</v>
      </c>
      <c r="L55" s="1" t="str">
        <f t="shared" si="2"/>
        <v>054 Stát - daňové pohledávky</v>
      </c>
      <c r="M55" s="4" t="str">
        <f t="shared" si="3"/>
        <v>Stát - daňové pohledávky</v>
      </c>
    </row>
    <row r="56" spans="1:13" x14ac:dyDescent="0.2">
      <c r="A56" s="20">
        <v>55</v>
      </c>
      <c r="B56" s="21" t="s">
        <v>321</v>
      </c>
      <c r="C56" s="21" t="s">
        <v>616</v>
      </c>
      <c r="D56" s="21" t="s">
        <v>508</v>
      </c>
      <c r="E56" s="75" t="s">
        <v>468</v>
      </c>
      <c r="F56" s="75" t="s">
        <v>807</v>
      </c>
      <c r="H56" s="21" t="s">
        <v>309</v>
      </c>
      <c r="I56" s="21" t="s">
        <v>291</v>
      </c>
      <c r="J56" s="23" t="s">
        <v>283</v>
      </c>
      <c r="K56" s="1" t="str">
        <f t="shared" si="1"/>
        <v>C.III. Krátkodobé pohledávky  (ř. 49 až 57)</v>
      </c>
      <c r="L56" s="1" t="str">
        <f t="shared" si="2"/>
        <v>055 Krátkodobé poskytnuté zálohy</v>
      </c>
      <c r="M56" s="4" t="str">
        <f t="shared" si="3"/>
        <v>Krátkodobé poskytnuté zálohy</v>
      </c>
    </row>
    <row r="57" spans="1:13" x14ac:dyDescent="0.2">
      <c r="A57" s="20">
        <v>56</v>
      </c>
      <c r="B57" s="21" t="s">
        <v>133</v>
      </c>
      <c r="C57" s="21" t="s">
        <v>611</v>
      </c>
      <c r="D57" s="21" t="s">
        <v>503</v>
      </c>
      <c r="E57" s="75" t="s">
        <v>468</v>
      </c>
      <c r="F57" s="75" t="s">
        <v>807</v>
      </c>
      <c r="H57" s="21" t="s">
        <v>309</v>
      </c>
      <c r="I57" s="21" t="s">
        <v>291</v>
      </c>
      <c r="J57" s="23" t="s">
        <v>284</v>
      </c>
      <c r="K57" s="1" t="str">
        <f t="shared" si="1"/>
        <v>C.III. Krátkodobé pohledávky  (ř. 49 až 57)</v>
      </c>
      <c r="L57" s="1" t="str">
        <f t="shared" si="2"/>
        <v>056 Dohadné účty aktivní</v>
      </c>
      <c r="M57" s="4" t="str">
        <f t="shared" si="3"/>
        <v>Dohadné účty aktivní</v>
      </c>
    </row>
    <row r="58" spans="1:13" x14ac:dyDescent="0.2">
      <c r="A58" s="20">
        <v>57</v>
      </c>
      <c r="B58" s="21" t="s">
        <v>126</v>
      </c>
      <c r="C58" s="21" t="s">
        <v>612</v>
      </c>
      <c r="D58" s="21" t="s">
        <v>504</v>
      </c>
      <c r="E58" s="75" t="s">
        <v>468</v>
      </c>
      <c r="F58" s="75" t="s">
        <v>807</v>
      </c>
      <c r="H58" s="21" t="s">
        <v>309</v>
      </c>
      <c r="I58" s="21" t="s">
        <v>291</v>
      </c>
      <c r="J58" s="23" t="s">
        <v>287</v>
      </c>
      <c r="K58" s="1" t="str">
        <f t="shared" si="1"/>
        <v>C.III. Krátkodobé pohledávky  (ř. 49 až 57)</v>
      </c>
      <c r="L58" s="1" t="str">
        <f t="shared" si="2"/>
        <v>057 Jiné pohledávky</v>
      </c>
      <c r="M58" s="4" t="str">
        <f t="shared" si="3"/>
        <v>Jiné pohledávky</v>
      </c>
    </row>
    <row r="59" spans="1:13" x14ac:dyDescent="0.2">
      <c r="A59" s="20">
        <v>58</v>
      </c>
      <c r="B59" s="21" t="s">
        <v>323</v>
      </c>
      <c r="C59" s="21" t="s">
        <v>667</v>
      </c>
      <c r="D59" s="21" t="s">
        <v>565</v>
      </c>
      <c r="E59" s="75" t="s">
        <v>468</v>
      </c>
      <c r="F59" s="75" t="s">
        <v>807</v>
      </c>
      <c r="K59" s="1" t="str">
        <f t="shared" si="1"/>
        <v>-</v>
      </c>
      <c r="L59" s="1" t="str">
        <f t="shared" si="2"/>
        <v>-</v>
      </c>
      <c r="M59" s="4" t="str">
        <f t="shared" si="3"/>
        <v>Krátkodobý finanční majetek  (ř. 59 až 62)</v>
      </c>
    </row>
    <row r="60" spans="1:13" x14ac:dyDescent="0.2">
      <c r="A60" s="20">
        <v>59</v>
      </c>
      <c r="B60" s="21" t="s">
        <v>67</v>
      </c>
      <c r="C60" s="21" t="s">
        <v>617</v>
      </c>
      <c r="D60" s="21" t="s">
        <v>509</v>
      </c>
      <c r="E60" s="75" t="s">
        <v>468</v>
      </c>
      <c r="F60" s="75" t="s">
        <v>807</v>
      </c>
      <c r="H60" s="21" t="s">
        <v>309</v>
      </c>
      <c r="I60" s="21" t="s">
        <v>322</v>
      </c>
      <c r="J60" s="23" t="s">
        <v>277</v>
      </c>
      <c r="K60" s="1" t="str">
        <f t="shared" si="1"/>
        <v>C.IV. Krátkodobý finanční majetek  (ř. 59 až 62)</v>
      </c>
      <c r="L60" s="1" t="str">
        <f t="shared" si="2"/>
        <v>059 Peníze</v>
      </c>
      <c r="M60" s="4" t="str">
        <f t="shared" si="3"/>
        <v>Peníze</v>
      </c>
    </row>
    <row r="61" spans="1:13" x14ac:dyDescent="0.2">
      <c r="A61" s="20">
        <v>60</v>
      </c>
      <c r="B61" s="21" t="s">
        <v>266</v>
      </c>
      <c r="C61" s="21" t="s">
        <v>618</v>
      </c>
      <c r="D61" s="21" t="s">
        <v>510</v>
      </c>
      <c r="E61" s="75" t="s">
        <v>468</v>
      </c>
      <c r="F61" s="75" t="s">
        <v>807</v>
      </c>
      <c r="H61" s="21" t="s">
        <v>309</v>
      </c>
      <c r="I61" s="21" t="s">
        <v>322</v>
      </c>
      <c r="J61" s="23" t="s">
        <v>278</v>
      </c>
      <c r="K61" s="1" t="str">
        <f t="shared" si="1"/>
        <v>C.IV. Krátkodobý finanční majetek  (ř. 59 až 62)</v>
      </c>
      <c r="L61" s="1" t="str">
        <f t="shared" si="2"/>
        <v>060 Účty v bankách</v>
      </c>
      <c r="M61" s="4" t="str">
        <f t="shared" si="3"/>
        <v>Účty v bankách</v>
      </c>
    </row>
    <row r="62" spans="1:13" x14ac:dyDescent="0.2">
      <c r="A62" s="20">
        <v>61</v>
      </c>
      <c r="B62" s="21" t="s">
        <v>332</v>
      </c>
      <c r="C62" s="21" t="s">
        <v>619</v>
      </c>
      <c r="D62" s="21" t="s">
        <v>511</v>
      </c>
      <c r="E62" s="75" t="s">
        <v>468</v>
      </c>
      <c r="F62" s="75" t="s">
        <v>807</v>
      </c>
      <c r="H62" s="21" t="s">
        <v>309</v>
      </c>
      <c r="I62" s="21" t="s">
        <v>322</v>
      </c>
      <c r="J62" s="23" t="s">
        <v>279</v>
      </c>
      <c r="K62" s="1" t="str">
        <f t="shared" si="1"/>
        <v>C.IV. Krátkodobý finanční majetek  (ř. 59 až 62)</v>
      </c>
      <c r="L62" s="1" t="str">
        <f t="shared" si="2"/>
        <v>061 Krátkodobé cenné papíry a podíly</v>
      </c>
      <c r="M62" s="4" t="str">
        <f t="shared" si="3"/>
        <v>Krátkodobé cenné papíry a podíly</v>
      </c>
    </row>
    <row r="63" spans="1:13" x14ac:dyDescent="0.2">
      <c r="A63" s="20">
        <v>62</v>
      </c>
      <c r="B63" s="21" t="s">
        <v>324</v>
      </c>
      <c r="C63" s="21" t="s">
        <v>620</v>
      </c>
      <c r="D63" s="21" t="s">
        <v>512</v>
      </c>
      <c r="E63" s="75" t="s">
        <v>468</v>
      </c>
      <c r="F63" s="75" t="s">
        <v>807</v>
      </c>
      <c r="H63" s="21" t="s">
        <v>309</v>
      </c>
      <c r="I63" s="21" t="s">
        <v>322</v>
      </c>
      <c r="J63" s="23" t="s">
        <v>280</v>
      </c>
      <c r="K63" s="1" t="str">
        <f t="shared" si="1"/>
        <v>C.IV. Krátkodobý finanční majetek  (ř. 59 až 62)</v>
      </c>
      <c r="L63" s="1" t="str">
        <f t="shared" si="2"/>
        <v>062 Pořizovaný krátkodobý finanční majetek</v>
      </c>
      <c r="M63" s="4" t="str">
        <f t="shared" si="3"/>
        <v>Pořizovaný krátkodobý finanční majetek</v>
      </c>
    </row>
    <row r="64" spans="1:13" x14ac:dyDescent="0.2">
      <c r="A64" s="20">
        <v>63</v>
      </c>
      <c r="B64" s="21" t="s">
        <v>326</v>
      </c>
      <c r="C64" s="21" t="s">
        <v>674</v>
      </c>
      <c r="D64" s="21" t="s">
        <v>566</v>
      </c>
      <c r="E64" s="75" t="s">
        <v>468</v>
      </c>
      <c r="F64" s="75" t="s">
        <v>807</v>
      </c>
      <c r="K64" s="1" t="str">
        <f t="shared" si="1"/>
        <v>-</v>
      </c>
      <c r="L64" s="1" t="str">
        <f t="shared" si="2"/>
        <v>-</v>
      </c>
      <c r="M64" s="4" t="str">
        <f t="shared" si="3"/>
        <v>Časové rozlišení  (ř. 64 až 66)</v>
      </c>
    </row>
    <row r="65" spans="1:13" x14ac:dyDescent="0.2">
      <c r="A65" s="20">
        <v>64</v>
      </c>
      <c r="B65" s="21" t="s">
        <v>327</v>
      </c>
      <c r="C65" s="21" t="s">
        <v>621</v>
      </c>
      <c r="D65" s="21" t="s">
        <v>513</v>
      </c>
      <c r="E65" s="75" t="s">
        <v>468</v>
      </c>
      <c r="F65" s="75" t="s">
        <v>807</v>
      </c>
      <c r="H65" s="21" t="s">
        <v>325</v>
      </c>
      <c r="I65" s="21" t="s">
        <v>276</v>
      </c>
      <c r="J65" s="23" t="s">
        <v>277</v>
      </c>
      <c r="K65" s="1" t="str">
        <f t="shared" si="1"/>
        <v>D.I. Časové rozlišení  (ř. 64 až 66)</v>
      </c>
      <c r="L65" s="1" t="str">
        <f t="shared" si="2"/>
        <v xml:space="preserve">064 Náklady příštích období </v>
      </c>
      <c r="M65" s="4" t="str">
        <f t="shared" si="3"/>
        <v xml:space="preserve">Náklady příštích období </v>
      </c>
    </row>
    <row r="66" spans="1:13" x14ac:dyDescent="0.2">
      <c r="A66" s="20">
        <v>65</v>
      </c>
      <c r="B66" s="21" t="s">
        <v>129</v>
      </c>
      <c r="C66" s="21" t="s">
        <v>622</v>
      </c>
      <c r="D66" s="21" t="s">
        <v>514</v>
      </c>
      <c r="E66" s="75" t="s">
        <v>468</v>
      </c>
      <c r="F66" s="75" t="s">
        <v>807</v>
      </c>
      <c r="H66" s="21" t="s">
        <v>325</v>
      </c>
      <c r="I66" s="21" t="s">
        <v>276</v>
      </c>
      <c r="J66" s="23" t="s">
        <v>278</v>
      </c>
      <c r="K66" s="1" t="str">
        <f t="shared" si="1"/>
        <v>D.I. Časové rozlišení  (ř. 64 až 66)</v>
      </c>
      <c r="L66" s="1" t="str">
        <f t="shared" si="2"/>
        <v>065 Komplexní náklady příštích období</v>
      </c>
      <c r="M66" s="4" t="str">
        <f t="shared" ref="M66:M97" si="4">IF(jazyk="česky",B66,IF(jazyk="anglicky",C66,IF(jazyk="německy",D66,"-")))</f>
        <v>Komplexní náklady příštích období</v>
      </c>
    </row>
    <row r="67" spans="1:13" x14ac:dyDescent="0.2">
      <c r="A67" s="20">
        <v>66</v>
      </c>
      <c r="B67" s="21" t="s">
        <v>132</v>
      </c>
      <c r="C67" s="21" t="s">
        <v>623</v>
      </c>
      <c r="D67" s="21" t="s">
        <v>515</v>
      </c>
      <c r="E67" s="75" t="s">
        <v>468</v>
      </c>
      <c r="F67" s="75" t="s">
        <v>807</v>
      </c>
      <c r="H67" s="21" t="s">
        <v>325</v>
      </c>
      <c r="I67" s="21" t="s">
        <v>276</v>
      </c>
      <c r="J67" s="23" t="s">
        <v>279</v>
      </c>
      <c r="K67" s="1" t="str">
        <f t="shared" ref="K67:K124" si="5">IF(AND(H67=0,I67=0,J67=0),"-",IF(A67=2,CONCATENATE(H67,I67," ",B67),IF(ISBLANK(H66),CONCATENATE(H67,I67," ",B66),K66)))</f>
        <v>D.I. Časové rozlišení  (ř. 64 až 66)</v>
      </c>
      <c r="L67" s="1" t="str">
        <f t="shared" ref="L67:L124" si="6">IF(ISBLANK(H67),"-",CONCATENATE(TEXT(A67,"000")," ",B67))</f>
        <v>066 Příjmy příštích období</v>
      </c>
      <c r="M67" s="4" t="str">
        <f t="shared" si="4"/>
        <v>Příjmy příštích období</v>
      </c>
    </row>
    <row r="68" spans="1:13" x14ac:dyDescent="0.2">
      <c r="A68" s="20">
        <v>67</v>
      </c>
      <c r="B68" s="21" t="s">
        <v>334</v>
      </c>
      <c r="C68" s="21" t="s">
        <v>683</v>
      </c>
      <c r="D68" s="21" t="s">
        <v>567</v>
      </c>
      <c r="E68" s="75" t="s">
        <v>468</v>
      </c>
      <c r="F68" s="75" t="s">
        <v>808</v>
      </c>
      <c r="K68" s="1" t="str">
        <f t="shared" si="5"/>
        <v>-</v>
      </c>
      <c r="L68" s="1" t="str">
        <f t="shared" si="6"/>
        <v>-</v>
      </c>
      <c r="M68" s="4" t="str">
        <f t="shared" si="4"/>
        <v>PASIVA CELKEM   (ř. 68 + 88 + 121)</v>
      </c>
    </row>
    <row r="69" spans="1:13" x14ac:dyDescent="0.2">
      <c r="A69" s="20">
        <v>68</v>
      </c>
      <c r="B69" s="21" t="s">
        <v>335</v>
      </c>
      <c r="C69" s="21" t="s">
        <v>675</v>
      </c>
      <c r="D69" s="21" t="s">
        <v>568</v>
      </c>
      <c r="E69" s="75" t="s">
        <v>468</v>
      </c>
      <c r="F69" s="75" t="s">
        <v>808</v>
      </c>
      <c r="K69" s="1" t="str">
        <f t="shared" si="5"/>
        <v>-</v>
      </c>
      <c r="L69" s="1" t="str">
        <f t="shared" si="6"/>
        <v>-</v>
      </c>
      <c r="M69" s="4" t="str">
        <f t="shared" si="4"/>
        <v>Vlastní kapitál   (ř. 69 + 73 + 80 + 83 + 87 )</v>
      </c>
    </row>
    <row r="70" spans="1:13" x14ac:dyDescent="0.2">
      <c r="A70" s="20">
        <v>69</v>
      </c>
      <c r="B70" s="21" t="s">
        <v>336</v>
      </c>
      <c r="C70" s="21" t="s">
        <v>676</v>
      </c>
      <c r="D70" s="21" t="s">
        <v>569</v>
      </c>
      <c r="E70" s="75" t="s">
        <v>468</v>
      </c>
      <c r="F70" s="75" t="s">
        <v>808</v>
      </c>
      <c r="K70" s="1" t="str">
        <f t="shared" si="5"/>
        <v>-</v>
      </c>
      <c r="L70" s="1" t="str">
        <f t="shared" si="6"/>
        <v>-</v>
      </c>
      <c r="M70" s="4" t="str">
        <f t="shared" si="4"/>
        <v>Základní kapitál (ř. 70 až  72 )</v>
      </c>
    </row>
    <row r="71" spans="1:13" x14ac:dyDescent="0.2">
      <c r="A71" s="20">
        <v>70</v>
      </c>
      <c r="B71" s="21" t="s">
        <v>138</v>
      </c>
      <c r="C71" s="21" t="s">
        <v>624</v>
      </c>
      <c r="D71" s="21" t="s">
        <v>516</v>
      </c>
      <c r="E71" s="75" t="s">
        <v>468</v>
      </c>
      <c r="F71" s="75" t="s">
        <v>808</v>
      </c>
      <c r="H71" s="21" t="s">
        <v>274</v>
      </c>
      <c r="I71" s="21" t="s">
        <v>276</v>
      </c>
      <c r="J71" s="23" t="s">
        <v>277</v>
      </c>
      <c r="K71" s="1" t="str">
        <f t="shared" si="5"/>
        <v>A.I. Základní kapitál (ř. 70 až  72 )</v>
      </c>
      <c r="L71" s="1" t="str">
        <f t="shared" si="6"/>
        <v>070 Základní kapitál</v>
      </c>
      <c r="M71" s="4" t="str">
        <f t="shared" si="4"/>
        <v>Základní kapitál</v>
      </c>
    </row>
    <row r="72" spans="1:13" x14ac:dyDescent="0.2">
      <c r="A72" s="20">
        <v>71</v>
      </c>
      <c r="B72" s="21" t="s">
        <v>337</v>
      </c>
      <c r="C72" s="21" t="s">
        <v>625</v>
      </c>
      <c r="D72" s="21" t="s">
        <v>517</v>
      </c>
      <c r="E72" s="75" t="s">
        <v>468</v>
      </c>
      <c r="F72" s="75" t="s">
        <v>808</v>
      </c>
      <c r="H72" s="21" t="s">
        <v>274</v>
      </c>
      <c r="I72" s="21" t="s">
        <v>276</v>
      </c>
      <c r="J72" s="23" t="s">
        <v>278</v>
      </c>
      <c r="K72" s="1" t="str">
        <f t="shared" si="5"/>
        <v>A.I. Základní kapitál (ř. 70 až  72 )</v>
      </c>
      <c r="L72" s="1" t="str">
        <f t="shared" si="6"/>
        <v>071 Vlastní akcie a vlastní obchodní podíly (-)</v>
      </c>
      <c r="M72" s="4" t="str">
        <f t="shared" si="4"/>
        <v>Vlastní akcie a vlastní obchodní podíly (-)</v>
      </c>
    </row>
    <row r="73" spans="1:13" x14ac:dyDescent="0.2">
      <c r="A73" s="20">
        <v>72</v>
      </c>
      <c r="B73" s="21" t="s">
        <v>144</v>
      </c>
      <c r="C73" s="21" t="s">
        <v>626</v>
      </c>
      <c r="D73" s="21" t="s">
        <v>518</v>
      </c>
      <c r="E73" s="75" t="s">
        <v>468</v>
      </c>
      <c r="F73" s="75" t="s">
        <v>808</v>
      </c>
      <c r="H73" s="21" t="s">
        <v>274</v>
      </c>
      <c r="I73" s="21" t="s">
        <v>276</v>
      </c>
      <c r="J73" s="23" t="s">
        <v>279</v>
      </c>
      <c r="K73" s="1" t="str">
        <f t="shared" si="5"/>
        <v>A.I. Základní kapitál (ř. 70 až  72 )</v>
      </c>
      <c r="L73" s="1" t="str">
        <f t="shared" si="6"/>
        <v>072 Změny základního kapitálu</v>
      </c>
      <c r="M73" s="4" t="str">
        <f t="shared" si="4"/>
        <v>Změny základního kapitálu</v>
      </c>
    </row>
    <row r="74" spans="1:13" x14ac:dyDescent="0.2">
      <c r="A74" s="20">
        <v>73</v>
      </c>
      <c r="B74" s="21" t="s">
        <v>338</v>
      </c>
      <c r="C74" s="21" t="s">
        <v>668</v>
      </c>
      <c r="D74" s="21" t="s">
        <v>570</v>
      </c>
      <c r="E74" s="75" t="s">
        <v>468</v>
      </c>
      <c r="F74" s="75" t="s">
        <v>808</v>
      </c>
      <c r="K74" s="1" t="str">
        <f t="shared" si="5"/>
        <v>-</v>
      </c>
      <c r="L74" s="1" t="str">
        <f t="shared" si="6"/>
        <v>-</v>
      </c>
      <c r="M74" s="4" t="str">
        <f t="shared" si="4"/>
        <v>Kapitálové fondy   (ř. 74 až 79)</v>
      </c>
    </row>
    <row r="75" spans="1:13" x14ac:dyDescent="0.2">
      <c r="A75" s="20">
        <v>74</v>
      </c>
      <c r="B75" s="21" t="s">
        <v>339</v>
      </c>
      <c r="C75" s="21" t="s">
        <v>627</v>
      </c>
      <c r="D75" s="21" t="s">
        <v>519</v>
      </c>
      <c r="E75" s="75" t="s">
        <v>468</v>
      </c>
      <c r="F75" s="75" t="s">
        <v>808</v>
      </c>
      <c r="H75" s="21" t="s">
        <v>274</v>
      </c>
      <c r="I75" s="21" t="s">
        <v>286</v>
      </c>
      <c r="J75" s="23" t="s">
        <v>277</v>
      </c>
      <c r="K75" s="1" t="str">
        <f t="shared" si="5"/>
        <v>A.II. Kapitálové fondy   (ř. 74 až 79)</v>
      </c>
      <c r="L75" s="1" t="str">
        <f t="shared" si="6"/>
        <v>074 Emisní ážio</v>
      </c>
      <c r="M75" s="4" t="str">
        <f t="shared" si="4"/>
        <v>Emisní ážio</v>
      </c>
    </row>
    <row r="76" spans="1:13" x14ac:dyDescent="0.2">
      <c r="A76" s="20">
        <v>75</v>
      </c>
      <c r="B76" s="21" t="s">
        <v>140</v>
      </c>
      <c r="C76" s="21" t="s">
        <v>628</v>
      </c>
      <c r="D76" s="21" t="s">
        <v>520</v>
      </c>
      <c r="E76" s="75" t="s">
        <v>468</v>
      </c>
      <c r="F76" s="75" t="s">
        <v>808</v>
      </c>
      <c r="H76" s="21" t="s">
        <v>274</v>
      </c>
      <c r="I76" s="21" t="s">
        <v>286</v>
      </c>
      <c r="J76" s="23" t="s">
        <v>278</v>
      </c>
      <c r="K76" s="1" t="str">
        <f t="shared" si="5"/>
        <v>A.II. Kapitálové fondy   (ř. 74 až 79)</v>
      </c>
      <c r="L76" s="1" t="str">
        <f t="shared" si="6"/>
        <v>075 Ostatní kapitálové fondy</v>
      </c>
      <c r="M76" s="4" t="str">
        <f t="shared" si="4"/>
        <v>Ostatní kapitálové fondy</v>
      </c>
    </row>
    <row r="77" spans="1:13" x14ac:dyDescent="0.2">
      <c r="A77" s="20">
        <v>76</v>
      </c>
      <c r="B77" s="21" t="s">
        <v>141</v>
      </c>
      <c r="C77" s="21" t="s">
        <v>629</v>
      </c>
      <c r="D77" s="21" t="s">
        <v>521</v>
      </c>
      <c r="E77" s="75" t="s">
        <v>468</v>
      </c>
      <c r="F77" s="75" t="s">
        <v>808</v>
      </c>
      <c r="H77" s="21" t="s">
        <v>274</v>
      </c>
      <c r="I77" s="21" t="s">
        <v>286</v>
      </c>
      <c r="J77" s="23" t="s">
        <v>279</v>
      </c>
      <c r="K77" s="1" t="str">
        <f t="shared" si="5"/>
        <v>A.II. Kapitálové fondy   (ř. 74 až 79)</v>
      </c>
      <c r="L77" s="1" t="str">
        <f t="shared" si="6"/>
        <v>076 Oceňovací rozdíly z přecenění majetku a závazků</v>
      </c>
      <c r="M77" s="4" t="str">
        <f t="shared" si="4"/>
        <v>Oceňovací rozdíly z přecenění majetku a závazků</v>
      </c>
    </row>
    <row r="78" spans="1:13" x14ac:dyDescent="0.2">
      <c r="A78" s="20">
        <v>77</v>
      </c>
      <c r="B78" s="21" t="s">
        <v>143</v>
      </c>
      <c r="C78" s="21" t="s">
        <v>630</v>
      </c>
      <c r="D78" s="21" t="s">
        <v>522</v>
      </c>
      <c r="E78" s="75" t="s">
        <v>468</v>
      </c>
      <c r="F78" s="75" t="s">
        <v>808</v>
      </c>
      <c r="H78" s="21" t="s">
        <v>274</v>
      </c>
      <c r="I78" s="21" t="s">
        <v>286</v>
      </c>
      <c r="J78" s="23" t="s">
        <v>280</v>
      </c>
      <c r="K78" s="1" t="str">
        <f t="shared" si="5"/>
        <v>A.II. Kapitálové fondy   (ř. 74 až 79)</v>
      </c>
      <c r="L78" s="1" t="str">
        <f t="shared" si="6"/>
        <v>077 Oceňovací rozdíly z přecenění při přeměnách společností</v>
      </c>
      <c r="M78" s="4" t="str">
        <f t="shared" si="4"/>
        <v>Oceňovací rozdíly z přecenění při přeměnách společností</v>
      </c>
    </row>
    <row r="79" spans="1:13" x14ac:dyDescent="0.2">
      <c r="A79" s="20">
        <v>78</v>
      </c>
      <c r="B79" s="21" t="s">
        <v>142</v>
      </c>
      <c r="C79" s="21" t="s">
        <v>631</v>
      </c>
      <c r="D79" s="21" t="s">
        <v>523</v>
      </c>
      <c r="E79" s="75" t="s">
        <v>468</v>
      </c>
      <c r="F79" s="75" t="s">
        <v>808</v>
      </c>
      <c r="H79" s="21" t="s">
        <v>274</v>
      </c>
      <c r="I79" s="21" t="s">
        <v>286</v>
      </c>
      <c r="J79" s="23" t="s">
        <v>281</v>
      </c>
      <c r="K79" s="1" t="str">
        <f t="shared" si="5"/>
        <v>A.II. Kapitálové fondy   (ř. 74 až 79)</v>
      </c>
      <c r="L79" s="1" t="str">
        <f t="shared" si="6"/>
        <v>078 Rozdíly z přeměn společností</v>
      </c>
      <c r="M79" s="4" t="str">
        <f t="shared" si="4"/>
        <v>Rozdíly z přeměn společností</v>
      </c>
    </row>
    <row r="80" spans="1:13" x14ac:dyDescent="0.2">
      <c r="A80" s="20">
        <v>79</v>
      </c>
      <c r="B80" s="21" t="s">
        <v>340</v>
      </c>
      <c r="C80" s="21" t="s">
        <v>632</v>
      </c>
      <c r="D80" s="21" t="s">
        <v>524</v>
      </c>
      <c r="E80" s="75" t="s">
        <v>468</v>
      </c>
      <c r="F80" s="75" t="s">
        <v>808</v>
      </c>
      <c r="H80" s="21" t="s">
        <v>274</v>
      </c>
      <c r="I80" s="21" t="s">
        <v>286</v>
      </c>
      <c r="J80" s="23" t="s">
        <v>282</v>
      </c>
      <c r="K80" s="1" t="str">
        <f t="shared" si="5"/>
        <v>A.II. Kapitálové fondy   (ř. 74 až 79)</v>
      </c>
      <c r="L80" s="1" t="str">
        <f t="shared" si="6"/>
        <v>079 Rozdíly z ocenění při přeměnách společností</v>
      </c>
      <c r="M80" s="4" t="str">
        <f t="shared" si="4"/>
        <v>Rozdíly z ocenění při přeměnách společností</v>
      </c>
    </row>
    <row r="81" spans="1:13" x14ac:dyDescent="0.2">
      <c r="A81" s="20">
        <v>80</v>
      </c>
      <c r="B81" s="21" t="s">
        <v>341</v>
      </c>
      <c r="C81" s="21" t="s">
        <v>677</v>
      </c>
      <c r="D81" s="21" t="s">
        <v>525</v>
      </c>
      <c r="E81" s="75" t="s">
        <v>468</v>
      </c>
      <c r="F81" s="75" t="s">
        <v>808</v>
      </c>
      <c r="K81" s="1" t="str">
        <f t="shared" si="5"/>
        <v>-</v>
      </c>
      <c r="L81" s="1" t="str">
        <f t="shared" si="6"/>
        <v>-</v>
      </c>
      <c r="M81" s="4" t="str">
        <f t="shared" si="4"/>
        <v>Rezervní fondy, nedělitelný fond  a ostatní fondy ze zisku  (ř. 81 + 82 )</v>
      </c>
    </row>
    <row r="82" spans="1:13" x14ac:dyDescent="0.2">
      <c r="A82" s="20">
        <v>81</v>
      </c>
      <c r="B82" s="21" t="s">
        <v>342</v>
      </c>
      <c r="C82" s="21" t="s">
        <v>633</v>
      </c>
      <c r="D82" s="21" t="s">
        <v>526</v>
      </c>
      <c r="E82" s="75" t="s">
        <v>468</v>
      </c>
      <c r="F82" s="75" t="s">
        <v>808</v>
      </c>
      <c r="H82" s="21" t="s">
        <v>274</v>
      </c>
      <c r="I82" s="21" t="s">
        <v>291</v>
      </c>
      <c r="J82" s="23" t="s">
        <v>277</v>
      </c>
      <c r="K82" s="1" t="str">
        <f t="shared" si="5"/>
        <v>A.III. Rezervní fondy, nedělitelný fond  a ostatní fondy ze zisku  (ř. 81 + 82 )</v>
      </c>
      <c r="L82" s="1" t="str">
        <f t="shared" si="6"/>
        <v>081 Zákonný rezervní fond / Nedělitelný fond</v>
      </c>
      <c r="M82" s="4" t="str">
        <f t="shared" si="4"/>
        <v>Zákonný rezervní fond / Nedělitelný fond</v>
      </c>
    </row>
    <row r="83" spans="1:13" x14ac:dyDescent="0.2">
      <c r="A83" s="20">
        <v>82</v>
      </c>
      <c r="B83" s="21" t="s">
        <v>343</v>
      </c>
      <c r="C83" s="21" t="s">
        <v>634</v>
      </c>
      <c r="D83" s="21" t="s">
        <v>527</v>
      </c>
      <c r="E83" s="75" t="s">
        <v>468</v>
      </c>
      <c r="F83" s="75" t="s">
        <v>808</v>
      </c>
      <c r="H83" s="21" t="s">
        <v>274</v>
      </c>
      <c r="I83" s="21" t="s">
        <v>291</v>
      </c>
      <c r="J83" s="23" t="s">
        <v>278</v>
      </c>
      <c r="K83" s="1" t="str">
        <f t="shared" si="5"/>
        <v>A.III. Rezervní fondy, nedělitelný fond  a ostatní fondy ze zisku  (ř. 81 + 82 )</v>
      </c>
      <c r="L83" s="1" t="str">
        <f t="shared" si="6"/>
        <v>082 Statutární a ostatní fondy</v>
      </c>
      <c r="M83" s="4" t="str">
        <f t="shared" si="4"/>
        <v>Statutární a ostatní fondy</v>
      </c>
    </row>
    <row r="84" spans="1:13" x14ac:dyDescent="0.2">
      <c r="A84" s="20">
        <v>83</v>
      </c>
      <c r="B84" s="21" t="s">
        <v>462</v>
      </c>
      <c r="C84" s="21" t="s">
        <v>678</v>
      </c>
      <c r="D84" s="21" t="s">
        <v>528</v>
      </c>
      <c r="E84" s="75" t="s">
        <v>468</v>
      </c>
      <c r="F84" s="75" t="s">
        <v>808</v>
      </c>
      <c r="K84" s="1" t="str">
        <f t="shared" si="5"/>
        <v>-</v>
      </c>
      <c r="L84" s="1" t="str">
        <f t="shared" si="6"/>
        <v>-</v>
      </c>
      <c r="M84" s="4" t="str">
        <f t="shared" si="4"/>
        <v>Výsledek hospodaření minulých let  (ř. 84 + 85 + 86)</v>
      </c>
    </row>
    <row r="85" spans="1:13" x14ac:dyDescent="0.2">
      <c r="A85" s="20">
        <v>84</v>
      </c>
      <c r="B85" s="21" t="s">
        <v>344</v>
      </c>
      <c r="C85" s="21" t="s">
        <v>635</v>
      </c>
      <c r="D85" s="21" t="s">
        <v>529</v>
      </c>
      <c r="E85" s="75" t="s">
        <v>468</v>
      </c>
      <c r="F85" s="75" t="s">
        <v>808</v>
      </c>
      <c r="H85" s="21" t="s">
        <v>274</v>
      </c>
      <c r="I85" s="21" t="s">
        <v>322</v>
      </c>
      <c r="J85" s="23" t="s">
        <v>277</v>
      </c>
      <c r="K85" s="1" t="str">
        <f t="shared" si="5"/>
        <v>A.IV. Výsledek hospodaření minulých let  (ř. 84 + 85 + 86)</v>
      </c>
      <c r="L85" s="1" t="str">
        <f t="shared" si="6"/>
        <v xml:space="preserve">084 Nerozdělený zisk minulých let </v>
      </c>
      <c r="M85" s="4" t="str">
        <f t="shared" si="4"/>
        <v xml:space="preserve">Nerozdělený zisk minulých let </v>
      </c>
    </row>
    <row r="86" spans="1:13" x14ac:dyDescent="0.2">
      <c r="A86" s="20">
        <v>85</v>
      </c>
      <c r="B86" s="21" t="s">
        <v>151</v>
      </c>
      <c r="C86" s="21" t="s">
        <v>636</v>
      </c>
      <c r="D86" s="21" t="s">
        <v>530</v>
      </c>
      <c r="E86" s="75" t="s">
        <v>468</v>
      </c>
      <c r="F86" s="75" t="s">
        <v>808</v>
      </c>
      <c r="H86" s="21" t="s">
        <v>274</v>
      </c>
      <c r="I86" s="21" t="s">
        <v>322</v>
      </c>
      <c r="J86" s="23" t="s">
        <v>278</v>
      </c>
      <c r="K86" s="1" t="str">
        <f t="shared" si="5"/>
        <v>A.IV. Výsledek hospodaření minulých let  (ř. 84 + 85 + 86)</v>
      </c>
      <c r="L86" s="1" t="str">
        <f t="shared" si="6"/>
        <v>085 Neuhrazená ztráta minulých let</v>
      </c>
      <c r="M86" s="4" t="str">
        <f t="shared" si="4"/>
        <v>Neuhrazená ztráta minulých let</v>
      </c>
    </row>
    <row r="87" spans="1:13" x14ac:dyDescent="0.2">
      <c r="A87" s="20">
        <v>86</v>
      </c>
      <c r="B87" s="21" t="s">
        <v>148</v>
      </c>
      <c r="C87" s="21" t="s">
        <v>637</v>
      </c>
      <c r="D87" s="21" t="s">
        <v>531</v>
      </c>
      <c r="E87" s="75" t="s">
        <v>468</v>
      </c>
      <c r="F87" s="75" t="s">
        <v>808</v>
      </c>
      <c r="H87" s="21" t="s">
        <v>274</v>
      </c>
      <c r="I87" s="21" t="s">
        <v>322</v>
      </c>
      <c r="J87" s="23" t="s">
        <v>279</v>
      </c>
      <c r="K87" s="1" t="str">
        <f t="shared" si="5"/>
        <v>A.IV. Výsledek hospodaření minulých let  (ř. 84 + 85 + 86)</v>
      </c>
      <c r="L87" s="1" t="str">
        <f t="shared" si="6"/>
        <v>086 Jiný výsledek hospodaření minulých let</v>
      </c>
      <c r="M87" s="4" t="str">
        <f t="shared" si="4"/>
        <v>Jiný výsledek hospodaření minulých let</v>
      </c>
    </row>
    <row r="88" spans="1:13" x14ac:dyDescent="0.2">
      <c r="A88" s="20">
        <v>87</v>
      </c>
      <c r="B88" s="21" t="s">
        <v>463</v>
      </c>
      <c r="C88" s="21" t="s">
        <v>679</v>
      </c>
      <c r="D88" s="21" t="s">
        <v>532</v>
      </c>
      <c r="E88" s="75" t="s">
        <v>468</v>
      </c>
      <c r="F88" s="75" t="s">
        <v>808</v>
      </c>
      <c r="K88" s="1" t="str">
        <f t="shared" si="5"/>
        <v>-</v>
      </c>
      <c r="L88" s="1" t="str">
        <f t="shared" si="6"/>
        <v>-</v>
      </c>
      <c r="M88" s="4" t="str">
        <f t="shared" si="4"/>
        <v>Výsledek hospodaření běžného účetního období (+/-)</v>
      </c>
    </row>
    <row r="89" spans="1:13" x14ac:dyDescent="0.2">
      <c r="A89" s="20">
        <v>88</v>
      </c>
      <c r="B89" s="21" t="s">
        <v>346</v>
      </c>
      <c r="C89" s="21" t="s">
        <v>680</v>
      </c>
      <c r="D89" s="21" t="s">
        <v>571</v>
      </c>
      <c r="E89" s="75" t="s">
        <v>468</v>
      </c>
      <c r="F89" s="75" t="s">
        <v>808</v>
      </c>
      <c r="K89" s="1" t="str">
        <f t="shared" si="5"/>
        <v>-</v>
      </c>
      <c r="L89" s="1" t="str">
        <f t="shared" si="6"/>
        <v>-</v>
      </c>
      <c r="M89" s="4" t="str">
        <f t="shared" si="4"/>
        <v>Cizí zdroje      (ř. 89 + 94 + 105 + 117)</v>
      </c>
    </row>
    <row r="90" spans="1:13" x14ac:dyDescent="0.2">
      <c r="A90" s="20">
        <v>89</v>
      </c>
      <c r="B90" s="21" t="s">
        <v>347</v>
      </c>
      <c r="C90" s="21" t="s">
        <v>810</v>
      </c>
      <c r="D90" s="21" t="s">
        <v>572</v>
      </c>
      <c r="E90" s="75" t="s">
        <v>468</v>
      </c>
      <c r="F90" s="75" t="s">
        <v>808</v>
      </c>
      <c r="K90" s="1" t="str">
        <f t="shared" si="5"/>
        <v>-</v>
      </c>
      <c r="L90" s="1" t="str">
        <f t="shared" si="6"/>
        <v>-</v>
      </c>
      <c r="M90" s="4" t="str">
        <f t="shared" si="4"/>
        <v>Rezervy   (ř. 90 až 93)</v>
      </c>
    </row>
    <row r="91" spans="1:13" x14ac:dyDescent="0.2">
      <c r="A91" s="20">
        <v>90</v>
      </c>
      <c r="B91" s="21" t="s">
        <v>153</v>
      </c>
      <c r="C91" s="21" t="s">
        <v>638</v>
      </c>
      <c r="D91" s="21" t="s">
        <v>533</v>
      </c>
      <c r="E91" s="75" t="s">
        <v>468</v>
      </c>
      <c r="F91" s="75" t="s">
        <v>808</v>
      </c>
      <c r="H91" s="21" t="s">
        <v>275</v>
      </c>
      <c r="I91" s="21" t="s">
        <v>276</v>
      </c>
      <c r="J91" s="23" t="s">
        <v>277</v>
      </c>
      <c r="K91" s="1" t="str">
        <f t="shared" si="5"/>
        <v>B.I. Rezervy   (ř. 90 až 93)</v>
      </c>
      <c r="L91" s="1" t="str">
        <f t="shared" si="6"/>
        <v>090 Rezervy podle zvláštních právních předpisů</v>
      </c>
      <c r="M91" s="4" t="str">
        <f t="shared" si="4"/>
        <v>Rezervy podle zvláštních právních předpisů</v>
      </c>
    </row>
    <row r="92" spans="1:13" x14ac:dyDescent="0.2">
      <c r="A92" s="20">
        <v>91</v>
      </c>
      <c r="B92" s="21" t="s">
        <v>154</v>
      </c>
      <c r="C92" s="21" t="s">
        <v>639</v>
      </c>
      <c r="D92" s="21" t="s">
        <v>534</v>
      </c>
      <c r="E92" s="75" t="s">
        <v>468</v>
      </c>
      <c r="F92" s="75" t="s">
        <v>808</v>
      </c>
      <c r="H92" s="21" t="s">
        <v>275</v>
      </c>
      <c r="I92" s="21" t="s">
        <v>276</v>
      </c>
      <c r="J92" s="23" t="s">
        <v>278</v>
      </c>
      <c r="K92" s="1" t="str">
        <f t="shared" si="5"/>
        <v>B.I. Rezervy   (ř. 90 až 93)</v>
      </c>
      <c r="L92" s="1" t="str">
        <f t="shared" si="6"/>
        <v>091 Rezerva na důchody a podobné závazky</v>
      </c>
      <c r="M92" s="4" t="str">
        <f t="shared" si="4"/>
        <v>Rezerva na důchody a podobné závazky</v>
      </c>
    </row>
    <row r="93" spans="1:13" x14ac:dyDescent="0.2">
      <c r="A93" s="20">
        <v>92</v>
      </c>
      <c r="B93" s="21" t="s">
        <v>155</v>
      </c>
      <c r="C93" s="21" t="s">
        <v>640</v>
      </c>
      <c r="D93" s="21" t="s">
        <v>535</v>
      </c>
      <c r="E93" s="75" t="s">
        <v>468</v>
      </c>
      <c r="F93" s="75" t="s">
        <v>808</v>
      </c>
      <c r="H93" s="21" t="s">
        <v>275</v>
      </c>
      <c r="I93" s="21" t="s">
        <v>276</v>
      </c>
      <c r="J93" s="23" t="s">
        <v>279</v>
      </c>
      <c r="K93" s="1" t="str">
        <f t="shared" si="5"/>
        <v>B.I. Rezervy   (ř. 90 až 93)</v>
      </c>
      <c r="L93" s="1" t="str">
        <f t="shared" si="6"/>
        <v>092 Rezerva na daň z příjmů</v>
      </c>
      <c r="M93" s="4" t="str">
        <f t="shared" si="4"/>
        <v>Rezerva na daň z příjmů</v>
      </c>
    </row>
    <row r="94" spans="1:13" x14ac:dyDescent="0.2">
      <c r="A94" s="20">
        <v>93</v>
      </c>
      <c r="B94" s="21" t="s">
        <v>156</v>
      </c>
      <c r="C94" s="21" t="s">
        <v>641</v>
      </c>
      <c r="D94" s="21" t="s">
        <v>536</v>
      </c>
      <c r="E94" s="75" t="s">
        <v>468</v>
      </c>
      <c r="F94" s="75" t="s">
        <v>808</v>
      </c>
      <c r="H94" s="21" t="s">
        <v>275</v>
      </c>
      <c r="I94" s="21" t="s">
        <v>276</v>
      </c>
      <c r="J94" s="23" t="s">
        <v>280</v>
      </c>
      <c r="K94" s="1" t="str">
        <f t="shared" si="5"/>
        <v>B.I. Rezervy   (ř. 90 až 93)</v>
      </c>
      <c r="L94" s="1" t="str">
        <f t="shared" si="6"/>
        <v>093 Ostatní rezervy</v>
      </c>
      <c r="M94" s="4" t="str">
        <f t="shared" si="4"/>
        <v>Ostatní rezervy</v>
      </c>
    </row>
    <row r="95" spans="1:13" x14ac:dyDescent="0.2">
      <c r="A95" s="20">
        <v>94</v>
      </c>
      <c r="B95" s="21" t="s">
        <v>348</v>
      </c>
      <c r="C95" s="21" t="s">
        <v>669</v>
      </c>
      <c r="D95" s="21" t="s">
        <v>573</v>
      </c>
      <c r="E95" s="75" t="s">
        <v>468</v>
      </c>
      <c r="F95" s="75" t="s">
        <v>808</v>
      </c>
      <c r="K95" s="1" t="str">
        <f t="shared" si="5"/>
        <v>-</v>
      </c>
      <c r="L95" s="1" t="str">
        <f t="shared" si="6"/>
        <v>-</v>
      </c>
      <c r="M95" s="4" t="str">
        <f t="shared" si="4"/>
        <v>Dlouhodobé závazky  (ř. 95 až 104)</v>
      </c>
    </row>
    <row r="96" spans="1:13" x14ac:dyDescent="0.2">
      <c r="A96" s="20">
        <v>95</v>
      </c>
      <c r="B96" s="21" t="s">
        <v>91</v>
      </c>
      <c r="C96" s="21" t="s">
        <v>642</v>
      </c>
      <c r="D96" s="21" t="s">
        <v>537</v>
      </c>
      <c r="E96" s="75" t="s">
        <v>468</v>
      </c>
      <c r="F96" s="75" t="s">
        <v>808</v>
      </c>
      <c r="H96" s="21" t="s">
        <v>275</v>
      </c>
      <c r="I96" s="21" t="s">
        <v>286</v>
      </c>
      <c r="J96" s="23" t="s">
        <v>277</v>
      </c>
      <c r="K96" s="1" t="str">
        <f t="shared" si="5"/>
        <v>B.II. Dlouhodobé závazky  (ř. 95 až 104)</v>
      </c>
      <c r="L96" s="1" t="str">
        <f t="shared" si="6"/>
        <v>095 Závazky z obchodních vztahů</v>
      </c>
      <c r="M96" s="4" t="str">
        <f t="shared" si="4"/>
        <v>Závazky z obchodních vztahů</v>
      </c>
    </row>
    <row r="97" spans="1:13" x14ac:dyDescent="0.2">
      <c r="A97" s="20">
        <v>96</v>
      </c>
      <c r="B97" s="21" t="s">
        <v>349</v>
      </c>
      <c r="C97" s="21" t="s">
        <v>643</v>
      </c>
      <c r="D97" s="21" t="s">
        <v>538</v>
      </c>
      <c r="E97" s="75" t="s">
        <v>468</v>
      </c>
      <c r="F97" s="75" t="s">
        <v>808</v>
      </c>
      <c r="H97" s="21" t="s">
        <v>275</v>
      </c>
      <c r="I97" s="21" t="s">
        <v>286</v>
      </c>
      <c r="J97" s="23" t="s">
        <v>278</v>
      </c>
      <c r="K97" s="1" t="str">
        <f t="shared" si="5"/>
        <v>B.II. Dlouhodobé závazky  (ř. 95 až 104)</v>
      </c>
      <c r="L97" s="1" t="str">
        <f t="shared" si="6"/>
        <v>096 Závazky - ovládaná nebo ovládající osoba</v>
      </c>
      <c r="M97" s="4" t="str">
        <f t="shared" si="4"/>
        <v>Závazky - ovládaná nebo ovládající osoba</v>
      </c>
    </row>
    <row r="98" spans="1:13" x14ac:dyDescent="0.2">
      <c r="A98" s="20">
        <v>97</v>
      </c>
      <c r="B98" s="21" t="s">
        <v>113</v>
      </c>
      <c r="C98" s="21" t="s">
        <v>644</v>
      </c>
      <c r="D98" s="21" t="s">
        <v>539</v>
      </c>
      <c r="E98" s="75" t="s">
        <v>468</v>
      </c>
      <c r="F98" s="75" t="s">
        <v>808</v>
      </c>
      <c r="H98" s="21" t="s">
        <v>275</v>
      </c>
      <c r="I98" s="21" t="s">
        <v>286</v>
      </c>
      <c r="J98" s="23" t="s">
        <v>279</v>
      </c>
      <c r="K98" s="1" t="str">
        <f t="shared" si="5"/>
        <v>B.II. Dlouhodobé závazky  (ř. 95 až 104)</v>
      </c>
      <c r="L98" s="1" t="str">
        <f t="shared" si="6"/>
        <v>097 Závazky - podstatný vliv</v>
      </c>
      <c r="M98" s="4" t="str">
        <f t="shared" ref="M98:M124" si="7">IF(jazyk="česky",B98,IF(jazyk="anglicky",C98,IF(jazyk="německy",D98,"-")))</f>
        <v>Závazky - podstatný vliv</v>
      </c>
    </row>
    <row r="99" spans="1:13" x14ac:dyDescent="0.2">
      <c r="A99" s="20">
        <v>98</v>
      </c>
      <c r="B99" s="21" t="s">
        <v>350</v>
      </c>
      <c r="C99" s="21" t="s">
        <v>645</v>
      </c>
      <c r="D99" s="21" t="s">
        <v>540</v>
      </c>
      <c r="E99" s="75" t="s">
        <v>468</v>
      </c>
      <c r="F99" s="75" t="s">
        <v>808</v>
      </c>
      <c r="H99" s="21" t="s">
        <v>275</v>
      </c>
      <c r="I99" s="21" t="s">
        <v>286</v>
      </c>
      <c r="J99" s="23" t="s">
        <v>280</v>
      </c>
      <c r="K99" s="1" t="str">
        <f t="shared" si="5"/>
        <v>B.II. Dlouhodobé závazky  (ř. 95 až 104)</v>
      </c>
      <c r="L99" s="1" t="str">
        <f t="shared" si="6"/>
        <v>098 Závazky ke společníkům, členům družstva  a k účastníkům sdružení</v>
      </c>
      <c r="M99" s="4" t="str">
        <f t="shared" si="7"/>
        <v>Závazky ke společníkům, členům družstva  a k účastníkům sdružení</v>
      </c>
    </row>
    <row r="100" spans="1:13" x14ac:dyDescent="0.2">
      <c r="A100" s="20">
        <v>99</v>
      </c>
      <c r="B100" s="21" t="s">
        <v>162</v>
      </c>
      <c r="C100" s="21" t="s">
        <v>646</v>
      </c>
      <c r="D100" s="21" t="s">
        <v>541</v>
      </c>
      <c r="E100" s="75" t="s">
        <v>468</v>
      </c>
      <c r="F100" s="75" t="s">
        <v>808</v>
      </c>
      <c r="H100" s="21" t="s">
        <v>275</v>
      </c>
      <c r="I100" s="21" t="s">
        <v>286</v>
      </c>
      <c r="J100" s="23" t="s">
        <v>281</v>
      </c>
      <c r="K100" s="1" t="str">
        <f t="shared" si="5"/>
        <v>B.II. Dlouhodobé závazky  (ř. 95 až 104)</v>
      </c>
      <c r="L100" s="1" t="str">
        <f t="shared" si="6"/>
        <v>099 Dlouhodobé přijaté zálohy</v>
      </c>
      <c r="M100" s="4" t="str">
        <f t="shared" si="7"/>
        <v>Dlouhodobé přijaté zálohy</v>
      </c>
    </row>
    <row r="101" spans="1:13" x14ac:dyDescent="0.2">
      <c r="A101" s="20">
        <v>100</v>
      </c>
      <c r="B101" s="21" t="s">
        <v>351</v>
      </c>
      <c r="C101" s="21" t="s">
        <v>647</v>
      </c>
      <c r="D101" s="21" t="s">
        <v>542</v>
      </c>
      <c r="E101" s="75" t="s">
        <v>468</v>
      </c>
      <c r="F101" s="75" t="s">
        <v>808</v>
      </c>
      <c r="H101" s="21" t="s">
        <v>275</v>
      </c>
      <c r="I101" s="21" t="s">
        <v>286</v>
      </c>
      <c r="J101" s="23" t="s">
        <v>282</v>
      </c>
      <c r="K101" s="1" t="str">
        <f t="shared" si="5"/>
        <v>B.II. Dlouhodobé závazky  (ř. 95 až 104)</v>
      </c>
      <c r="L101" s="1" t="str">
        <f t="shared" si="6"/>
        <v>100 Vydané dluhopisy</v>
      </c>
      <c r="M101" s="4" t="str">
        <f t="shared" si="7"/>
        <v>Vydané dluhopisy</v>
      </c>
    </row>
    <row r="102" spans="1:13" x14ac:dyDescent="0.2">
      <c r="A102" s="20">
        <v>101</v>
      </c>
      <c r="B102" s="21" t="s">
        <v>163</v>
      </c>
      <c r="C102" s="21" t="s">
        <v>648</v>
      </c>
      <c r="D102" s="21" t="s">
        <v>543</v>
      </c>
      <c r="E102" s="75" t="s">
        <v>468</v>
      </c>
      <c r="F102" s="75" t="s">
        <v>808</v>
      </c>
      <c r="H102" s="21" t="s">
        <v>275</v>
      </c>
      <c r="I102" s="21" t="s">
        <v>286</v>
      </c>
      <c r="J102" s="23" t="s">
        <v>283</v>
      </c>
      <c r="K102" s="1" t="str">
        <f t="shared" si="5"/>
        <v>B.II. Dlouhodobé závazky  (ř. 95 až 104)</v>
      </c>
      <c r="L102" s="1" t="str">
        <f t="shared" si="6"/>
        <v>101 Dlouhodobé směnky k úhradě</v>
      </c>
      <c r="M102" s="4" t="str">
        <f t="shared" si="7"/>
        <v>Dlouhodobé směnky k úhradě</v>
      </c>
    </row>
    <row r="103" spans="1:13" x14ac:dyDescent="0.2">
      <c r="A103" s="20">
        <v>102</v>
      </c>
      <c r="B103" s="21" t="s">
        <v>352</v>
      </c>
      <c r="C103" s="21" t="s">
        <v>649</v>
      </c>
      <c r="D103" s="21" t="s">
        <v>544</v>
      </c>
      <c r="E103" s="75" t="s">
        <v>468</v>
      </c>
      <c r="F103" s="75" t="s">
        <v>808</v>
      </c>
      <c r="H103" s="21" t="s">
        <v>275</v>
      </c>
      <c r="I103" s="21" t="s">
        <v>286</v>
      </c>
      <c r="J103" s="23" t="s">
        <v>284</v>
      </c>
      <c r="K103" s="1" t="str">
        <f t="shared" si="5"/>
        <v>B.II. Dlouhodobé závazky  (ř. 95 až 104)</v>
      </c>
      <c r="L103" s="1" t="str">
        <f t="shared" si="6"/>
        <v>102 Dohadné účty pasívní</v>
      </c>
      <c r="M103" s="4" t="str">
        <f t="shared" si="7"/>
        <v>Dohadné účty pasívní</v>
      </c>
    </row>
    <row r="104" spans="1:13" x14ac:dyDescent="0.2">
      <c r="A104" s="20">
        <v>103</v>
      </c>
      <c r="B104" s="21" t="s">
        <v>127</v>
      </c>
      <c r="C104" s="21" t="s">
        <v>650</v>
      </c>
      <c r="D104" s="21" t="s">
        <v>545</v>
      </c>
      <c r="E104" s="75" t="s">
        <v>468</v>
      </c>
      <c r="F104" s="75" t="s">
        <v>808</v>
      </c>
      <c r="H104" s="21" t="s">
        <v>275</v>
      </c>
      <c r="I104" s="21" t="s">
        <v>286</v>
      </c>
      <c r="J104" s="23" t="s">
        <v>287</v>
      </c>
      <c r="K104" s="1" t="str">
        <f t="shared" si="5"/>
        <v>B.II. Dlouhodobé závazky  (ř. 95 až 104)</v>
      </c>
      <c r="L104" s="1" t="str">
        <f t="shared" si="6"/>
        <v>103 Jiné závazky</v>
      </c>
      <c r="M104" s="4" t="str">
        <f t="shared" si="7"/>
        <v>Jiné závazky</v>
      </c>
    </row>
    <row r="105" spans="1:13" x14ac:dyDescent="0.2">
      <c r="A105" s="20">
        <v>104</v>
      </c>
      <c r="B105" s="21" t="s">
        <v>353</v>
      </c>
      <c r="C105" s="21" t="s">
        <v>651</v>
      </c>
      <c r="D105" s="21" t="s">
        <v>546</v>
      </c>
      <c r="E105" s="75" t="s">
        <v>468</v>
      </c>
      <c r="F105" s="75" t="s">
        <v>808</v>
      </c>
      <c r="H105" s="21" t="s">
        <v>275</v>
      </c>
      <c r="I105" s="21" t="s">
        <v>286</v>
      </c>
      <c r="J105" s="23" t="s">
        <v>372</v>
      </c>
      <c r="K105" s="1" t="str">
        <f t="shared" si="5"/>
        <v>B.II. Dlouhodobé závazky  (ř. 95 až 104)</v>
      </c>
      <c r="L105" s="1" t="str">
        <f t="shared" si="6"/>
        <v>104 Odložený daňový závazek</v>
      </c>
      <c r="M105" s="4" t="str">
        <f t="shared" si="7"/>
        <v>Odložený daňový závazek</v>
      </c>
    </row>
    <row r="106" spans="1:13" x14ac:dyDescent="0.2">
      <c r="A106" s="20">
        <v>105</v>
      </c>
      <c r="B106" s="21" t="s">
        <v>361</v>
      </c>
      <c r="C106" s="21" t="s">
        <v>670</v>
      </c>
      <c r="D106" s="21" t="s">
        <v>574</v>
      </c>
      <c r="E106" s="75" t="s">
        <v>468</v>
      </c>
      <c r="F106" s="75" t="s">
        <v>808</v>
      </c>
      <c r="K106" s="1" t="str">
        <f t="shared" si="5"/>
        <v>-</v>
      </c>
      <c r="L106" s="1" t="str">
        <f t="shared" si="6"/>
        <v>-</v>
      </c>
      <c r="M106" s="4" t="str">
        <f t="shared" si="7"/>
        <v>Krátkodobé závazky  (ř. 106 až 116)</v>
      </c>
    </row>
    <row r="107" spans="1:13" x14ac:dyDescent="0.2">
      <c r="A107" s="20">
        <v>106</v>
      </c>
      <c r="B107" s="21" t="s">
        <v>91</v>
      </c>
      <c r="C107" s="21" t="s">
        <v>642</v>
      </c>
      <c r="D107" s="21" t="s">
        <v>537</v>
      </c>
      <c r="E107" s="75" t="s">
        <v>468</v>
      </c>
      <c r="F107" s="75" t="s">
        <v>808</v>
      </c>
      <c r="H107" s="21" t="s">
        <v>275</v>
      </c>
      <c r="I107" s="21" t="s">
        <v>291</v>
      </c>
      <c r="J107" s="23" t="s">
        <v>277</v>
      </c>
      <c r="K107" s="1" t="str">
        <f t="shared" si="5"/>
        <v>B.III. Krátkodobé závazky  (ř. 106 až 116)</v>
      </c>
      <c r="L107" s="1" t="str">
        <f t="shared" si="6"/>
        <v>106 Závazky z obchodních vztahů</v>
      </c>
      <c r="M107" s="4" t="str">
        <f t="shared" si="7"/>
        <v>Závazky z obchodních vztahů</v>
      </c>
    </row>
    <row r="108" spans="1:13" x14ac:dyDescent="0.2">
      <c r="A108" s="20">
        <v>107</v>
      </c>
      <c r="B108" s="21" t="s">
        <v>349</v>
      </c>
      <c r="C108" s="21" t="s">
        <v>643</v>
      </c>
      <c r="D108" s="21" t="s">
        <v>538</v>
      </c>
      <c r="E108" s="75" t="s">
        <v>468</v>
      </c>
      <c r="F108" s="75" t="s">
        <v>808</v>
      </c>
      <c r="H108" s="21" t="s">
        <v>275</v>
      </c>
      <c r="I108" s="21" t="s">
        <v>291</v>
      </c>
      <c r="J108" s="23" t="s">
        <v>278</v>
      </c>
      <c r="K108" s="1" t="str">
        <f t="shared" si="5"/>
        <v>B.III. Krátkodobé závazky  (ř. 106 až 116)</v>
      </c>
      <c r="L108" s="1" t="str">
        <f t="shared" si="6"/>
        <v>107 Závazky - ovládaná nebo ovládající osoba</v>
      </c>
      <c r="M108" s="4" t="str">
        <f t="shared" si="7"/>
        <v>Závazky - ovládaná nebo ovládající osoba</v>
      </c>
    </row>
    <row r="109" spans="1:13" x14ac:dyDescent="0.2">
      <c r="A109" s="20">
        <v>108</v>
      </c>
      <c r="B109" s="21" t="s">
        <v>113</v>
      </c>
      <c r="C109" s="21" t="s">
        <v>644</v>
      </c>
      <c r="D109" s="21" t="s">
        <v>539</v>
      </c>
      <c r="E109" s="75" t="s">
        <v>468</v>
      </c>
      <c r="F109" s="75" t="s">
        <v>808</v>
      </c>
      <c r="H109" s="21" t="s">
        <v>275</v>
      </c>
      <c r="I109" s="21" t="s">
        <v>291</v>
      </c>
      <c r="J109" s="23" t="s">
        <v>279</v>
      </c>
      <c r="K109" s="1" t="str">
        <f t="shared" si="5"/>
        <v>B.III. Krátkodobé závazky  (ř. 106 až 116)</v>
      </c>
      <c r="L109" s="1" t="str">
        <f t="shared" si="6"/>
        <v>108 Závazky - podstatný vliv</v>
      </c>
      <c r="M109" s="4" t="str">
        <f t="shared" si="7"/>
        <v>Závazky - podstatný vliv</v>
      </c>
    </row>
    <row r="110" spans="1:13" x14ac:dyDescent="0.2">
      <c r="A110" s="20">
        <v>109</v>
      </c>
      <c r="B110" s="21" t="s">
        <v>350</v>
      </c>
      <c r="C110" s="21" t="s">
        <v>645</v>
      </c>
      <c r="D110" s="21" t="s">
        <v>540</v>
      </c>
      <c r="E110" s="75" t="s">
        <v>468</v>
      </c>
      <c r="F110" s="75" t="s">
        <v>808</v>
      </c>
      <c r="H110" s="21" t="s">
        <v>275</v>
      </c>
      <c r="I110" s="21" t="s">
        <v>291</v>
      </c>
      <c r="J110" s="23" t="s">
        <v>280</v>
      </c>
      <c r="K110" s="1" t="str">
        <f t="shared" si="5"/>
        <v>B.III. Krátkodobé závazky  (ř. 106 až 116)</v>
      </c>
      <c r="L110" s="1" t="str">
        <f t="shared" si="6"/>
        <v>109 Závazky ke společníkům, členům družstva  a k účastníkům sdružení</v>
      </c>
      <c r="M110" s="4" t="str">
        <f t="shared" si="7"/>
        <v>Závazky ke společníkům, členům družstva  a k účastníkům sdružení</v>
      </c>
    </row>
    <row r="111" spans="1:13" x14ac:dyDescent="0.2">
      <c r="A111" s="20">
        <v>110</v>
      </c>
      <c r="B111" s="21" t="s">
        <v>362</v>
      </c>
      <c r="C111" s="21" t="s">
        <v>652</v>
      </c>
      <c r="D111" s="21" t="s">
        <v>547</v>
      </c>
      <c r="E111" s="75" t="s">
        <v>468</v>
      </c>
      <c r="F111" s="75" t="s">
        <v>808</v>
      </c>
      <c r="H111" s="21" t="s">
        <v>275</v>
      </c>
      <c r="I111" s="21" t="s">
        <v>291</v>
      </c>
      <c r="J111" s="23" t="s">
        <v>281</v>
      </c>
      <c r="K111" s="1" t="str">
        <f t="shared" si="5"/>
        <v>B.III. Krátkodobé závazky  (ř. 106 až 116)</v>
      </c>
      <c r="L111" s="1" t="str">
        <f t="shared" si="6"/>
        <v>110 Závazky k zaměstnancům</v>
      </c>
      <c r="M111" s="4" t="str">
        <f t="shared" si="7"/>
        <v>Závazky k zaměstnancům</v>
      </c>
    </row>
    <row r="112" spans="1:13" x14ac:dyDescent="0.2">
      <c r="A112" s="20">
        <v>111</v>
      </c>
      <c r="B112" s="21" t="s">
        <v>363</v>
      </c>
      <c r="C112" s="21" t="s">
        <v>653</v>
      </c>
      <c r="D112" s="21" t="s">
        <v>548</v>
      </c>
      <c r="E112" s="75" t="s">
        <v>468</v>
      </c>
      <c r="F112" s="75" t="s">
        <v>808</v>
      </c>
      <c r="H112" s="21" t="s">
        <v>275</v>
      </c>
      <c r="I112" s="21" t="s">
        <v>291</v>
      </c>
      <c r="J112" s="23" t="s">
        <v>282</v>
      </c>
      <c r="K112" s="1" t="str">
        <f t="shared" si="5"/>
        <v>B.III. Krátkodobé závazky  (ř. 106 až 116)</v>
      </c>
      <c r="L112" s="1" t="str">
        <f t="shared" si="6"/>
        <v>111 Závazky ze sociálního zabezpečení a zdravotního pojištění</v>
      </c>
      <c r="M112" s="4" t="str">
        <f t="shared" si="7"/>
        <v>Závazky ze sociálního zabezpečení a zdravotního pojištění</v>
      </c>
    </row>
    <row r="113" spans="1:13" x14ac:dyDescent="0.2">
      <c r="A113" s="20">
        <v>112</v>
      </c>
      <c r="B113" s="21" t="s">
        <v>364</v>
      </c>
      <c r="C113" s="21" t="s">
        <v>654</v>
      </c>
      <c r="D113" s="21" t="s">
        <v>549</v>
      </c>
      <c r="E113" s="75" t="s">
        <v>468</v>
      </c>
      <c r="F113" s="75" t="s">
        <v>808</v>
      </c>
      <c r="H113" s="21" t="s">
        <v>275</v>
      </c>
      <c r="I113" s="21" t="s">
        <v>291</v>
      </c>
      <c r="J113" s="23" t="s">
        <v>283</v>
      </c>
      <c r="K113" s="1" t="str">
        <f t="shared" si="5"/>
        <v>B.III. Krátkodobé závazky  (ř. 106 až 116)</v>
      </c>
      <c r="L113" s="1" t="str">
        <f t="shared" si="6"/>
        <v>112 Stát - daňové závazky a dotace</v>
      </c>
      <c r="M113" s="4" t="str">
        <f t="shared" si="7"/>
        <v>Stát - daňové závazky a dotace</v>
      </c>
    </row>
    <row r="114" spans="1:13" x14ac:dyDescent="0.2">
      <c r="A114" s="20">
        <v>113</v>
      </c>
      <c r="B114" s="21" t="s">
        <v>365</v>
      </c>
      <c r="C114" s="21" t="s">
        <v>655</v>
      </c>
      <c r="D114" s="21" t="s">
        <v>550</v>
      </c>
      <c r="E114" s="75" t="s">
        <v>468</v>
      </c>
      <c r="F114" s="75" t="s">
        <v>808</v>
      </c>
      <c r="H114" s="21" t="s">
        <v>275</v>
      </c>
      <c r="I114" s="21" t="s">
        <v>291</v>
      </c>
      <c r="J114" s="23" t="s">
        <v>284</v>
      </c>
      <c r="K114" s="1" t="str">
        <f t="shared" si="5"/>
        <v>B.III. Krátkodobé závazky  (ř. 106 až 116)</v>
      </c>
      <c r="L114" s="1" t="str">
        <f t="shared" si="6"/>
        <v>113 Kratkodobé přijaté zálohy</v>
      </c>
      <c r="M114" s="4" t="str">
        <f t="shared" si="7"/>
        <v>Kratkodobé přijaté zálohy</v>
      </c>
    </row>
    <row r="115" spans="1:13" x14ac:dyDescent="0.2">
      <c r="A115" s="20">
        <v>114</v>
      </c>
      <c r="B115" s="21" t="s">
        <v>351</v>
      </c>
      <c r="C115" s="21" t="s">
        <v>647</v>
      </c>
      <c r="D115" s="21" t="s">
        <v>542</v>
      </c>
      <c r="E115" s="75" t="s">
        <v>468</v>
      </c>
      <c r="F115" s="75" t="s">
        <v>808</v>
      </c>
      <c r="H115" s="21" t="s">
        <v>275</v>
      </c>
      <c r="I115" s="21" t="s">
        <v>291</v>
      </c>
      <c r="J115" s="23" t="s">
        <v>287</v>
      </c>
      <c r="K115" s="1" t="str">
        <f t="shared" si="5"/>
        <v>B.III. Krátkodobé závazky  (ř. 106 až 116)</v>
      </c>
      <c r="L115" s="1" t="str">
        <f t="shared" si="6"/>
        <v>114 Vydané dluhopisy</v>
      </c>
      <c r="M115" s="4" t="str">
        <f t="shared" si="7"/>
        <v>Vydané dluhopisy</v>
      </c>
    </row>
    <row r="116" spans="1:13" x14ac:dyDescent="0.2">
      <c r="A116" s="20">
        <v>115</v>
      </c>
      <c r="B116" s="21" t="s">
        <v>366</v>
      </c>
      <c r="C116" s="21" t="s">
        <v>649</v>
      </c>
      <c r="D116" s="21" t="s">
        <v>544</v>
      </c>
      <c r="E116" s="75" t="s">
        <v>468</v>
      </c>
      <c r="F116" s="75" t="s">
        <v>808</v>
      </c>
      <c r="H116" s="21" t="s">
        <v>275</v>
      </c>
      <c r="I116" s="21" t="s">
        <v>291</v>
      </c>
      <c r="J116" s="23" t="s">
        <v>372</v>
      </c>
      <c r="K116" s="1" t="str">
        <f t="shared" si="5"/>
        <v>B.III. Krátkodobé závazky  (ř. 106 až 116)</v>
      </c>
      <c r="L116" s="1" t="str">
        <f t="shared" si="6"/>
        <v xml:space="preserve">115 Dohadné účty pasivní </v>
      </c>
      <c r="M116" s="4" t="str">
        <f t="shared" si="7"/>
        <v xml:space="preserve">Dohadné účty pasivní </v>
      </c>
    </row>
    <row r="117" spans="1:13" x14ac:dyDescent="0.2">
      <c r="A117" s="20">
        <v>116</v>
      </c>
      <c r="B117" s="21" t="s">
        <v>127</v>
      </c>
      <c r="C117" s="21" t="s">
        <v>650</v>
      </c>
      <c r="D117" s="21" t="s">
        <v>545</v>
      </c>
      <c r="E117" s="75" t="s">
        <v>468</v>
      </c>
      <c r="F117" s="75" t="s">
        <v>808</v>
      </c>
      <c r="H117" s="21" t="s">
        <v>275</v>
      </c>
      <c r="I117" s="21" t="s">
        <v>291</v>
      </c>
      <c r="J117" s="23" t="s">
        <v>373</v>
      </c>
      <c r="K117" s="1" t="str">
        <f t="shared" si="5"/>
        <v>B.III. Krátkodobé závazky  (ř. 106 až 116)</v>
      </c>
      <c r="L117" s="1" t="str">
        <f t="shared" si="6"/>
        <v>116 Jiné závazky</v>
      </c>
      <c r="M117" s="4" t="str">
        <f t="shared" si="7"/>
        <v>Jiné závazky</v>
      </c>
    </row>
    <row r="118" spans="1:13" x14ac:dyDescent="0.2">
      <c r="A118" s="20">
        <v>117</v>
      </c>
      <c r="B118" s="21" t="s">
        <v>367</v>
      </c>
      <c r="C118" s="21" t="s">
        <v>681</v>
      </c>
      <c r="D118" s="21" t="s">
        <v>575</v>
      </c>
      <c r="E118" s="75" t="s">
        <v>468</v>
      </c>
      <c r="F118" s="75" t="s">
        <v>808</v>
      </c>
      <c r="K118" s="1" t="str">
        <f t="shared" si="5"/>
        <v>-</v>
      </c>
      <c r="L118" s="1" t="str">
        <f t="shared" si="6"/>
        <v>-</v>
      </c>
      <c r="M118" s="4" t="str">
        <f t="shared" si="7"/>
        <v>Bankovní úvěry a výpomoci  (ř. 118 až 120)</v>
      </c>
    </row>
    <row r="119" spans="1:13" x14ac:dyDescent="0.2">
      <c r="A119" s="20">
        <v>118</v>
      </c>
      <c r="B119" s="21" t="s">
        <v>368</v>
      </c>
      <c r="C119" s="21" t="s">
        <v>656</v>
      </c>
      <c r="D119" s="21" t="s">
        <v>551</v>
      </c>
      <c r="E119" s="75" t="s">
        <v>468</v>
      </c>
      <c r="F119" s="75" t="s">
        <v>808</v>
      </c>
      <c r="H119" s="21" t="s">
        <v>275</v>
      </c>
      <c r="I119" s="21" t="s">
        <v>322</v>
      </c>
      <c r="J119" s="23" t="s">
        <v>277</v>
      </c>
      <c r="K119" s="1" t="str">
        <f t="shared" si="5"/>
        <v>B.IV. Bankovní úvěry a výpomoci  (ř. 118 až 120)</v>
      </c>
      <c r="L119" s="1" t="str">
        <f t="shared" si="6"/>
        <v>118 Bankovní úvěry dlouhodobé</v>
      </c>
      <c r="M119" s="4" t="str">
        <f t="shared" si="7"/>
        <v>Bankovní úvěry dlouhodobé</v>
      </c>
    </row>
    <row r="120" spans="1:13" x14ac:dyDescent="0.2">
      <c r="A120" s="20">
        <v>119</v>
      </c>
      <c r="B120" s="21" t="s">
        <v>369</v>
      </c>
      <c r="C120" s="21" t="s">
        <v>657</v>
      </c>
      <c r="D120" s="21" t="s">
        <v>552</v>
      </c>
      <c r="E120" s="75" t="s">
        <v>468</v>
      </c>
      <c r="F120" s="75" t="s">
        <v>808</v>
      </c>
      <c r="H120" s="21" t="s">
        <v>275</v>
      </c>
      <c r="I120" s="21" t="s">
        <v>322</v>
      </c>
      <c r="J120" s="23" t="s">
        <v>278</v>
      </c>
      <c r="K120" s="1" t="str">
        <f t="shared" si="5"/>
        <v>B.IV. Bankovní úvěry a výpomoci  (ř. 118 až 120)</v>
      </c>
      <c r="L120" s="1" t="str">
        <f t="shared" si="6"/>
        <v xml:space="preserve">119 Krátkodobé bankovní úvěry </v>
      </c>
      <c r="M120" s="4" t="str">
        <f t="shared" si="7"/>
        <v xml:space="preserve">Krátkodobé bankovní úvěry </v>
      </c>
    </row>
    <row r="121" spans="1:13" x14ac:dyDescent="0.2">
      <c r="A121" s="20">
        <v>120</v>
      </c>
      <c r="B121" s="21" t="s">
        <v>267</v>
      </c>
      <c r="C121" s="21" t="s">
        <v>658</v>
      </c>
      <c r="D121" s="21" t="s">
        <v>553</v>
      </c>
      <c r="E121" s="75" t="s">
        <v>468</v>
      </c>
      <c r="F121" s="75" t="s">
        <v>808</v>
      </c>
      <c r="H121" s="21" t="s">
        <v>275</v>
      </c>
      <c r="I121" s="21" t="s">
        <v>322</v>
      </c>
      <c r="J121" s="23" t="s">
        <v>279</v>
      </c>
      <c r="K121" s="1" t="str">
        <f t="shared" si="5"/>
        <v>B.IV. Bankovní úvěry a výpomoci  (ř. 118 až 120)</v>
      </c>
      <c r="L121" s="1" t="str">
        <f t="shared" si="6"/>
        <v>120 Krátkodobé finanční výpomoci</v>
      </c>
      <c r="M121" s="4" t="str">
        <f t="shared" si="7"/>
        <v>Krátkodobé finanční výpomoci</v>
      </c>
    </row>
    <row r="122" spans="1:13" x14ac:dyDescent="0.2">
      <c r="A122" s="20">
        <v>121</v>
      </c>
      <c r="B122" s="21" t="s">
        <v>370</v>
      </c>
      <c r="C122" s="21" t="s">
        <v>682</v>
      </c>
      <c r="D122" s="21" t="s">
        <v>576</v>
      </c>
      <c r="E122" s="75" t="s">
        <v>468</v>
      </c>
      <c r="F122" s="75" t="s">
        <v>808</v>
      </c>
      <c r="K122" s="1" t="str">
        <f t="shared" si="5"/>
        <v>-</v>
      </c>
      <c r="L122" s="1" t="str">
        <f t="shared" si="6"/>
        <v>-</v>
      </c>
      <c r="M122" s="4" t="str">
        <f t="shared" si="7"/>
        <v>Časové rozlišení  (ř. 122 + 123)</v>
      </c>
    </row>
    <row r="123" spans="1:13" x14ac:dyDescent="0.2">
      <c r="A123" s="20">
        <v>122</v>
      </c>
      <c r="B123" s="21" t="s">
        <v>130</v>
      </c>
      <c r="C123" s="21" t="s">
        <v>659</v>
      </c>
      <c r="D123" s="21" t="s">
        <v>554</v>
      </c>
      <c r="E123" s="75" t="s">
        <v>468</v>
      </c>
      <c r="F123" s="75" t="s">
        <v>808</v>
      </c>
      <c r="H123" s="21" t="s">
        <v>309</v>
      </c>
      <c r="I123" s="21" t="s">
        <v>276</v>
      </c>
      <c r="J123" s="23" t="s">
        <v>277</v>
      </c>
      <c r="K123" s="1" t="str">
        <f t="shared" si="5"/>
        <v>C.I. Časové rozlišení  (ř. 122 + 123)</v>
      </c>
      <c r="L123" s="1" t="str">
        <f t="shared" si="6"/>
        <v>122 Výdaje příštích období</v>
      </c>
      <c r="M123" s="4" t="str">
        <f t="shared" si="7"/>
        <v>Výdaje příštích období</v>
      </c>
    </row>
    <row r="124" spans="1:13" x14ac:dyDescent="0.2">
      <c r="A124" s="20">
        <v>123</v>
      </c>
      <c r="B124" s="21" t="s">
        <v>371</v>
      </c>
      <c r="C124" s="21" t="s">
        <v>660</v>
      </c>
      <c r="D124" s="21" t="s">
        <v>555</v>
      </c>
      <c r="E124" s="75" t="s">
        <v>468</v>
      </c>
      <c r="F124" s="75" t="s">
        <v>808</v>
      </c>
      <c r="H124" s="21" t="s">
        <v>309</v>
      </c>
      <c r="I124" s="21" t="s">
        <v>276</v>
      </c>
      <c r="J124" s="23" t="s">
        <v>278</v>
      </c>
      <c r="K124" s="1" t="str">
        <f t="shared" si="5"/>
        <v>C.I. Časové rozlišení  (ř. 122 + 123)</v>
      </c>
      <c r="L124" s="1" t="str">
        <f t="shared" si="6"/>
        <v xml:space="preserve">123 Výnosy příštích období </v>
      </c>
      <c r="M124" s="4" t="str">
        <f t="shared" si="7"/>
        <v xml:space="preserve">Výnosy příštích období </v>
      </c>
    </row>
  </sheetData>
  <autoFilter ref="A1:M124"/>
  <pageMargins left="0.7" right="0.7" top="0.78740157499999996" bottom="0.78740157499999996" header="0.3" footer="0.3"/>
  <pageSetup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10</vt:i4>
      </vt:variant>
    </vt:vector>
  </HeadingPairs>
  <TitlesOfParts>
    <vt:vector size="21" baseType="lpstr">
      <vt:lpstr>postup</vt:lpstr>
      <vt:lpstr>INDEX</vt:lpstr>
      <vt:lpstr>DATA</vt:lpstr>
      <vt:lpstr>VÝKAZ ZZ</vt:lpstr>
      <vt:lpstr>AKTIVA</vt:lpstr>
      <vt:lpstr>PASIVA</vt:lpstr>
      <vt:lpstr>pivot</vt:lpstr>
      <vt:lpstr>ucty_synt</vt:lpstr>
      <vt:lpstr>řádky R</vt:lpstr>
      <vt:lpstr>řádky V</vt:lpstr>
      <vt:lpstr>dates</vt:lpstr>
      <vt:lpstr>jazyk</vt:lpstr>
      <vt:lpstr>AKTIVA!Názvy_tisku</vt:lpstr>
      <vt:lpstr>DATA!Názvy_tisku</vt:lpstr>
      <vt:lpstr>PASIVA!Názvy_tisku</vt:lpstr>
      <vt:lpstr>'VÝKAZ ZZ'!Názvy_tisku</vt:lpstr>
      <vt:lpstr>AKTIVA!Oblast_tisku</vt:lpstr>
      <vt:lpstr>INDEX!Oblast_tisku</vt:lpstr>
      <vt:lpstr>PASIVA!Oblast_tisku</vt:lpstr>
      <vt:lpstr>'VÝKAZ ZZ'!Oblast_tisku</vt:lpstr>
      <vt:lpstr>zaokr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Finanční výkazy 2013</dc:title>
  <dc:subject>Finanční výkazy 2013</dc:subject>
  <dc:creator>CB AUDIT s.r.o.</dc:creator>
  <cp:lastModifiedBy>cb audit</cp:lastModifiedBy>
  <cp:lastPrinted>2013-11-07T09:06:31Z</cp:lastPrinted>
  <dcterms:created xsi:type="dcterms:W3CDTF">2008-02-14T07:20:01Z</dcterms:created>
  <dcterms:modified xsi:type="dcterms:W3CDTF">2014-03-31T19:08:30Z</dcterms:modified>
</cp:coreProperties>
</file>